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imelineCaches/timelineCache1.xml" ContentType="application/vnd.ms-excel.timelineCache+xml"/>
  <Override PartName="/xl/timelineCaches/timelineCache2.xml" ContentType="application/vnd.ms-excel.timelineCache+xml"/>
  <Override PartName="/xl/timelineCaches/timelineCache3.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slicers/slicer2.xml" ContentType="application/vnd.ms-excel.slicer+xml"/>
  <Override PartName="/xl/timelines/timeline2.xml" ContentType="application/vnd.ms-excel.timelin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slicers/slicer3.xml" ContentType="application/vnd.ms-excel.slicer+xml"/>
  <Override PartName="/xl/timelines/timeline3.xml" ContentType="application/vnd.ms-excel.timelin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C:\Users\jerome\Documents\VEG-I-TEC\Mathis VERITE\dossier Mathis sur le commun T\Mathis VERITE\1- LIVRABLES Fin d'alternance\Suivi des consommations\EXCEL VIERGE et Tutoriel\"/>
    </mc:Choice>
  </mc:AlternateContent>
  <xr:revisionPtr revIDLastSave="0" documentId="13_ncr:1_{05DEBF73-F269-436A-A072-F425D3E63141}" xr6:coauthVersionLast="47" xr6:coauthVersionMax="47" xr10:uidLastSave="{00000000-0000-0000-0000-000000000000}"/>
  <bookViews>
    <workbookView xWindow="-120" yWindow="-120" windowWidth="29040" windowHeight="15840" xr2:uid="{AACEA77E-91BB-4D7E-933C-DB4E1F4F300C}"/>
  </bookViews>
  <sheets>
    <sheet name="à propos de l'outil" sheetId="30" r:id="rId1"/>
    <sheet name="Tableau de Bord ELEC" sheetId="1" r:id="rId2"/>
    <sheet name="Tableau de Bord GAZ" sheetId="11" r:id="rId3"/>
    <sheet name="Tableau de Bord EAU" sheetId="10" r:id="rId4"/>
    <sheet name="Base de données ELEC" sheetId="8" r:id="rId5"/>
    <sheet name="Base de données GAZ" sheetId="13" r:id="rId6"/>
    <sheet name="Base de données EAU" sheetId="12" r:id="rId7"/>
    <sheet name="Coût des consommations" sheetId="9" r:id="rId8"/>
    <sheet name="Conso_tot_EAU" sheetId="19" state="hidden" r:id="rId9"/>
    <sheet name="Conso_postes_EAU" sheetId="21" state="hidden" r:id="rId10"/>
    <sheet name="Cout_conso_postes_EAU" sheetId="22" state="hidden" r:id="rId11"/>
    <sheet name="Evo_conso_postes_EAU" sheetId="23" state="hidden" r:id="rId12"/>
    <sheet name="Secteur_conso_postes_EAU" sheetId="24" state="hidden" r:id="rId13"/>
    <sheet name="Conso_tot_GAZ" sheetId="25" state="hidden" r:id="rId14"/>
    <sheet name="Conso_postes_GAZ" sheetId="26" state="hidden" r:id="rId15"/>
    <sheet name="Coût_conso_postes_GAZ" sheetId="27" state="hidden" r:id="rId16"/>
    <sheet name="Evo_conso_postes_GAZ" sheetId="28" state="hidden" r:id="rId17"/>
    <sheet name="Secteur_conso_postes_GAZ" sheetId="29" state="hidden" r:id="rId18"/>
    <sheet name="Conso_tot_ELEC" sheetId="14" state="hidden" r:id="rId19"/>
    <sheet name="Conso_Postes_ELEC" sheetId="15" state="hidden" r:id="rId20"/>
    <sheet name="Coût_Conso_Postes_ELEC" sheetId="16" state="hidden" r:id="rId21"/>
    <sheet name="Evo_Conso_Postes_ELEC" sheetId="17" state="hidden" r:id="rId22"/>
    <sheet name="Secteur_Conso_Postes_ELEC" sheetId="18" state="hidden" r:id="rId23"/>
  </sheets>
  <definedNames>
    <definedName name="ChronologieNative_Mois_Année">#N/A</definedName>
    <definedName name="ChronologieNative_Mois_Année1">#N/A</definedName>
    <definedName name="ChronologieNative_Mois_Année2">#N/A</definedName>
    <definedName name="Segment_ANNÉE">#N/A</definedName>
    <definedName name="Segment_ANNÉE1">#N/A</definedName>
    <definedName name="Segment_ANNÉE2">#N/A</definedName>
    <definedName name="Segment_MOIS">#N/A</definedName>
    <definedName name="Segment_MOIS1">#N/A</definedName>
    <definedName name="Segment_MOIS2">#N/A</definedName>
  </definedNames>
  <calcPr calcId="191029"/>
  <pivotCaches>
    <pivotCache cacheId="63" r:id="rId24"/>
    <pivotCache cacheId="68" r:id="rId25"/>
    <pivotCache cacheId="73" r:id="rId26"/>
  </pivotCaches>
  <extLst>
    <ext xmlns:x14="http://schemas.microsoft.com/office/spreadsheetml/2009/9/main" uri="{BBE1A952-AA13-448e-AADC-164F8A28A991}">
      <x14:slicerCaches>
        <x14:slicerCache r:id="rId27"/>
        <x14:slicerCache r:id="rId28"/>
        <x14:slicerCache r:id="rId29"/>
        <x14:slicerCache r:id="rId30"/>
        <x14:slicerCache r:id="rId31"/>
        <x14:slicerCache r:id="rId32"/>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33"/>
        <x15:timelineCacheRef r:id="rId34"/>
        <x15:timelineCacheRef r:id="rId35"/>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5" i="12" l="1"/>
  <c r="Z15" i="12"/>
  <c r="AA15" i="12"/>
  <c r="AB15" i="12"/>
  <c r="AC15" i="12"/>
  <c r="AD15" i="12"/>
  <c r="AE15" i="12"/>
  <c r="AF15" i="12"/>
  <c r="AG15" i="12"/>
  <c r="AH15" i="12"/>
  <c r="AI15" i="12"/>
  <c r="AJ15" i="12"/>
  <c r="AK15" i="12"/>
  <c r="AL15" i="12"/>
  <c r="AM15" i="12"/>
  <c r="AN15" i="12"/>
  <c r="AO15" i="12"/>
  <c r="AP15" i="12"/>
  <c r="AQ15" i="12"/>
  <c r="X15" i="12"/>
  <c r="Y15" i="8"/>
  <c r="Z15" i="8"/>
  <c r="AA15" i="8"/>
  <c r="AB15" i="8"/>
  <c r="AC15" i="8"/>
  <c r="AD15" i="8"/>
  <c r="AE15" i="8"/>
  <c r="AF15" i="8"/>
  <c r="AG15" i="8"/>
  <c r="AH15" i="8"/>
  <c r="AI15" i="8"/>
  <c r="AJ15" i="8"/>
  <c r="AK15" i="8"/>
  <c r="AL15" i="8"/>
  <c r="AM15" i="8"/>
  <c r="AN15" i="8"/>
  <c r="AO15" i="8"/>
  <c r="AP15" i="8"/>
  <c r="AQ15" i="8"/>
  <c r="X15" i="8"/>
  <c r="Y15" i="13"/>
  <c r="Z15" i="13"/>
  <c r="AA15" i="13"/>
  <c r="AB15" i="13"/>
  <c r="AC15" i="13"/>
  <c r="AD15" i="13"/>
  <c r="AE15" i="13"/>
  <c r="AF15" i="13"/>
  <c r="AG15" i="13"/>
  <c r="AH15" i="13"/>
  <c r="AI15" i="13"/>
  <c r="AJ15" i="13"/>
  <c r="AK15" i="13"/>
  <c r="AL15" i="13"/>
  <c r="AM15" i="13"/>
  <c r="AN15" i="13"/>
  <c r="AO15" i="13"/>
  <c r="AP15" i="13"/>
  <c r="AQ15" i="13"/>
  <c r="X15" i="13"/>
  <c r="AT19" i="13" l="1"/>
  <c r="AS19" i="13"/>
  <c r="AT18" i="13"/>
  <c r="AS18" i="13"/>
  <c r="AT17" i="13"/>
  <c r="AS17" i="13"/>
  <c r="AT19" i="12"/>
  <c r="AS19" i="12"/>
  <c r="AT18" i="12"/>
  <c r="AS18" i="12"/>
  <c r="AT17" i="12"/>
  <c r="AS17" i="12"/>
  <c r="AR17" i="12" l="1"/>
  <c r="AJ17" i="12"/>
  <c r="AB17" i="12"/>
  <c r="AQ17" i="12"/>
  <c r="Y17" i="12"/>
  <c r="AP17" i="12"/>
  <c r="AH17" i="12"/>
  <c r="Z17" i="12"/>
  <c r="AG17" i="12"/>
  <c r="AN17" i="12"/>
  <c r="AF17" i="12"/>
  <c r="X17" i="12"/>
  <c r="AI17" i="12"/>
  <c r="AM17" i="12"/>
  <c r="AE17" i="12"/>
  <c r="AC17" i="12"/>
  <c r="AO17" i="12"/>
  <c r="AL17" i="12"/>
  <c r="AD17" i="12"/>
  <c r="AK17" i="12"/>
  <c r="AA17" i="12"/>
  <c r="AO17" i="13"/>
  <c r="AG17" i="13"/>
  <c r="Y17" i="13"/>
  <c r="AN17" i="13"/>
  <c r="AF17" i="13"/>
  <c r="X17" i="13"/>
  <c r="AR17" i="13"/>
  <c r="AA17" i="13"/>
  <c r="AH17" i="13"/>
  <c r="AM17" i="13"/>
  <c r="AE17" i="13"/>
  <c r="AK17" i="13"/>
  <c r="AJ17" i="13"/>
  <c r="AQ17" i="13"/>
  <c r="Z17" i="13"/>
  <c r="AL17" i="13"/>
  <c r="AD17" i="13"/>
  <c r="AC17" i="13"/>
  <c r="AB17" i="13"/>
  <c r="AI17" i="13"/>
  <c r="AP17" i="13"/>
  <c r="AQ19" i="13"/>
  <c r="AM19" i="13"/>
  <c r="AI19" i="13"/>
  <c r="AE19" i="13"/>
  <c r="AA19" i="13"/>
  <c r="AH19" i="13"/>
  <c r="Z19" i="13"/>
  <c r="AB19" i="13"/>
  <c r="AP19" i="13"/>
  <c r="AL19" i="13"/>
  <c r="AD19" i="13"/>
  <c r="X19" i="13"/>
  <c r="AO19" i="13"/>
  <c r="AK19" i="13"/>
  <c r="AG19" i="13"/>
  <c r="AC19" i="13"/>
  <c r="Y19" i="13"/>
  <c r="AR19" i="13"/>
  <c r="AN19" i="13"/>
  <c r="AJ19" i="13"/>
  <c r="AF19" i="13"/>
  <c r="AO19" i="12"/>
  <c r="AK19" i="12"/>
  <c r="AG19" i="12"/>
  <c r="AC19" i="12"/>
  <c r="Y19" i="12"/>
  <c r="AR19" i="12"/>
  <c r="AN19" i="12"/>
  <c r="AJ19" i="12"/>
  <c r="AF19" i="12"/>
  <c r="AB19" i="12"/>
  <c r="X19" i="12"/>
  <c r="AQ19" i="12"/>
  <c r="AM19" i="12"/>
  <c r="AI19" i="12"/>
  <c r="AE19" i="12"/>
  <c r="AA19" i="12"/>
  <c r="AP19" i="12"/>
  <c r="AL19" i="12"/>
  <c r="AH19" i="12"/>
  <c r="AD19" i="12"/>
  <c r="Z19" i="12"/>
  <c r="AM18" i="12"/>
  <c r="AE18" i="12"/>
  <c r="AK18" i="12"/>
  <c r="AP18" i="12"/>
  <c r="AH18" i="12"/>
  <c r="AR18" i="12"/>
  <c r="AJ18" i="12"/>
  <c r="AB18" i="12"/>
  <c r="AO18" i="12"/>
  <c r="AG18" i="12"/>
  <c r="Y18" i="12"/>
  <c r="AL18" i="12"/>
  <c r="AD18" i="12"/>
  <c r="Z18" i="12"/>
  <c r="AQ18" i="12"/>
  <c r="AI18" i="12"/>
  <c r="AA18" i="12"/>
  <c r="AN18" i="12"/>
  <c r="AF18" i="12"/>
  <c r="X18" i="12"/>
  <c r="AC18" i="12"/>
  <c r="AR18" i="13"/>
  <c r="AJ18" i="13"/>
  <c r="AB18" i="13"/>
  <c r="AO18" i="13"/>
  <c r="AG18" i="13"/>
  <c r="AL18" i="13"/>
  <c r="AD18" i="13"/>
  <c r="X18" i="13"/>
  <c r="Y18" i="13"/>
  <c r="AQ18" i="13"/>
  <c r="AI18" i="13"/>
  <c r="AA18" i="13"/>
  <c r="AF18" i="13"/>
  <c r="AM18" i="13"/>
  <c r="AE18" i="13"/>
  <c r="AN18" i="13"/>
  <c r="AH18" i="13"/>
  <c r="AK18" i="13"/>
  <c r="AC18" i="13"/>
  <c r="AP18" i="13"/>
  <c r="Z18" i="13"/>
  <c r="AS17" i="8"/>
  <c r="AS18" i="8"/>
  <c r="AS19" i="8"/>
  <c r="AT17" i="8" l="1"/>
  <c r="AT18" i="8"/>
  <c r="AT19" i="8"/>
  <c r="X17" i="8" l="1"/>
  <c r="AF17" i="8"/>
  <c r="AN17" i="8"/>
  <c r="AG17" i="8"/>
  <c r="AO17" i="8"/>
  <c r="AH17" i="8"/>
  <c r="AP17" i="8"/>
  <c r="AI17" i="8"/>
  <c r="AJ17" i="8"/>
  <c r="AK17" i="8"/>
  <c r="Y17" i="8"/>
  <c r="AC17" i="8"/>
  <c r="AE17" i="8"/>
  <c r="Z17" i="8"/>
  <c r="AQ17" i="8"/>
  <c r="AR17" i="8"/>
  <c r="AA17" i="8"/>
  <c r="AB17" i="8"/>
  <c r="AM17" i="8"/>
  <c r="AD17" i="8"/>
  <c r="AL17" i="8"/>
  <c r="X19" i="8"/>
  <c r="AB19" i="8"/>
  <c r="AF19" i="8"/>
  <c r="AJ19" i="8"/>
  <c r="AN19" i="8"/>
  <c r="AR19" i="8"/>
  <c r="AI19" i="8"/>
  <c r="AQ19" i="8"/>
  <c r="AC19" i="8"/>
  <c r="AG19" i="8"/>
  <c r="AO19" i="8"/>
  <c r="AD19" i="8"/>
  <c r="AL19" i="8"/>
  <c r="AP19" i="8"/>
  <c r="AA19" i="8"/>
  <c r="Y19" i="8"/>
  <c r="AK19" i="8"/>
  <c r="Z19" i="8"/>
  <c r="AH19" i="8"/>
  <c r="AE19" i="8"/>
  <c r="AM19" i="8"/>
  <c r="AC18" i="8"/>
  <c r="X18" i="8"/>
  <c r="AF18" i="8"/>
  <c r="AA18" i="8"/>
  <c r="AI18" i="8"/>
  <c r="AQ18" i="8"/>
  <c r="AG18" i="8"/>
  <c r="AD18" i="8"/>
  <c r="Y18" i="8"/>
  <c r="AB18" i="8"/>
  <c r="AJ18" i="8"/>
  <c r="AR18" i="8"/>
  <c r="AH18" i="8"/>
  <c r="AK18" i="8"/>
  <c r="AN18" i="8"/>
  <c r="AL18" i="8"/>
  <c r="AO18" i="8"/>
  <c r="AE18" i="8"/>
  <c r="AM18" i="8"/>
  <c r="AP18" i="8"/>
  <c r="Z18" i="8"/>
</calcChain>
</file>

<file path=xl/sharedStrings.xml><?xml version="1.0" encoding="utf-8"?>
<sst xmlns="http://schemas.openxmlformats.org/spreadsheetml/2006/main" count="240" uniqueCount="93">
  <si>
    <t xml:space="preserve">Commentaire </t>
  </si>
  <si>
    <t xml:space="preserve">Mois/Année </t>
  </si>
  <si>
    <t>Total</t>
  </si>
  <si>
    <t>MOIS</t>
  </si>
  <si>
    <t>ANNÉE</t>
  </si>
  <si>
    <t>Coût Total</t>
  </si>
  <si>
    <t xml:space="preserve">Années </t>
  </si>
  <si>
    <t>Electricité</t>
  </si>
  <si>
    <t>Eau</t>
  </si>
  <si>
    <t>Gaz</t>
  </si>
  <si>
    <t>Étiquettes de lignes</t>
  </si>
  <si>
    <t>Total général</t>
  </si>
  <si>
    <t>Étiquettes de colonnes</t>
  </si>
  <si>
    <t>janvier</t>
  </si>
  <si>
    <t>Somme de Total</t>
  </si>
  <si>
    <t>février</t>
  </si>
  <si>
    <t>mars</t>
  </si>
  <si>
    <t>Somme de Coût Total</t>
  </si>
  <si>
    <t>Graphique (1)</t>
  </si>
  <si>
    <t>Graphique (2)</t>
  </si>
  <si>
    <t>Graphique (3)</t>
  </si>
  <si>
    <t>Graphique (4)</t>
  </si>
  <si>
    <t>Graphique (5)</t>
  </si>
  <si>
    <t>Graphe (6)</t>
  </si>
  <si>
    <t>Graphique (7)</t>
  </si>
  <si>
    <t>Graphique (10)</t>
  </si>
  <si>
    <t>Graphique (9)</t>
  </si>
  <si>
    <t>Graphique (8)</t>
  </si>
  <si>
    <t>Graphique (11)</t>
  </si>
  <si>
    <t>Graphique (12)</t>
  </si>
  <si>
    <t>Graphique (13)</t>
  </si>
  <si>
    <t>Graphique (14)</t>
  </si>
  <si>
    <t>Graphique (15)</t>
  </si>
  <si>
    <t>Graphique (16)</t>
  </si>
  <si>
    <t>Graphique (17)</t>
  </si>
  <si>
    <t>Graphique (18)</t>
  </si>
  <si>
    <t>Graphique (19)</t>
  </si>
  <si>
    <t>Graphique (20)</t>
  </si>
  <si>
    <t>Graphique (21)</t>
  </si>
  <si>
    <t>Poste [1]</t>
  </si>
  <si>
    <t>Poste [2]</t>
  </si>
  <si>
    <t xml:space="preserve">Poste [3] </t>
  </si>
  <si>
    <t xml:space="preserve">Poste [4] </t>
  </si>
  <si>
    <t>Poste [5]</t>
  </si>
  <si>
    <t>Poste [6]</t>
  </si>
  <si>
    <t xml:space="preserve">Poste [7] </t>
  </si>
  <si>
    <t>Poste [8]</t>
  </si>
  <si>
    <t>Poste [9]</t>
  </si>
  <si>
    <t>Poste [10]</t>
  </si>
  <si>
    <t>Poste [12]</t>
  </si>
  <si>
    <t>Poste [13]</t>
  </si>
  <si>
    <t>Poste [14]</t>
  </si>
  <si>
    <t>Poste [11]</t>
  </si>
  <si>
    <t>Poste [15]</t>
  </si>
  <si>
    <t>Poste [16]</t>
  </si>
  <si>
    <t>Poste [17]</t>
  </si>
  <si>
    <t>Poste [18]</t>
  </si>
  <si>
    <t>Poste [19]</t>
  </si>
  <si>
    <t>Poste [20]</t>
  </si>
  <si>
    <t>Coût Poste [1]</t>
  </si>
  <si>
    <t>Coût Poste [2]</t>
  </si>
  <si>
    <t>Coût Poste [3]</t>
  </si>
  <si>
    <t>Coût Poste [4]</t>
  </si>
  <si>
    <t>Coût Poste [5]</t>
  </si>
  <si>
    <t>Coût Poste [6]</t>
  </si>
  <si>
    <t>Coût Poste [7]</t>
  </si>
  <si>
    <t xml:space="preserve">Coût Poste [8] </t>
  </si>
  <si>
    <t>Coût Poste [9]</t>
  </si>
  <si>
    <t>Coût Poste [10]</t>
  </si>
  <si>
    <t>Coût Poste [11]</t>
  </si>
  <si>
    <t>Coût Poste [12]</t>
  </si>
  <si>
    <t>Coût Poste [13]</t>
  </si>
  <si>
    <t>Coût Poste [14]</t>
  </si>
  <si>
    <t>Coût Poste [15]</t>
  </si>
  <si>
    <t>Coût Poste [16]</t>
  </si>
  <si>
    <t>Coût Poste [17]</t>
  </si>
  <si>
    <t>Coût Poste [18]</t>
  </si>
  <si>
    <t>Coût Poste [19]</t>
  </si>
  <si>
    <t>Coût Poste [20]</t>
  </si>
  <si>
    <t>MV 2022</t>
  </si>
  <si>
    <t>Poste [3]</t>
  </si>
  <si>
    <t>Poste [4]</t>
  </si>
  <si>
    <t>Poste [7]</t>
  </si>
  <si>
    <t>Coût Poste [8]</t>
  </si>
  <si>
    <t>TABLEAU DES COÛTS DES CONSOMMATIONS</t>
  </si>
  <si>
    <t>Somme de Poste [1]</t>
  </si>
  <si>
    <t>Somme de Poste [2]</t>
  </si>
  <si>
    <t xml:space="preserve">Somme de Poste [3] </t>
  </si>
  <si>
    <t xml:space="preserve">Somme de Poste [4] </t>
  </si>
  <si>
    <t>Valeurs</t>
  </si>
  <si>
    <t>EME Occitanie met gratuitement à votre disposition des outils pédagogiques (expositions, jeux, DVD) pour vous aider à sensibiliser vos publics à différentes thématiques : changement climatique, développement durable, déchets, énergie…</t>
  </si>
  <si>
    <t>Ces outils doivent être récupérés par </t>
  </si>
  <si>
    <t>Dans le cadre du projet VEG-i-TEC, nous avons développé cet outil excel pour vous aider à mettre en place vos tableaux de bord des suivis de consommations des Energies et de l'eau. Il est mis gratuitement à votre disposition. Un tutoriel est également disponible pour vous aider au démarrage de votre projet de comptage. Cet outil ne pourra pas faire l'objet d'une commercialisation et  nous n'assurons pas son support technique.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</si>
</sst>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C]mmmm\-yy;@"/>
    <numFmt numFmtId="165" formatCode="#,##0\ &quot;€&quot;"/>
    <numFmt numFmtId="166" formatCode="#,##0&quot; m³&quot;"/>
    <numFmt numFmtId="167" formatCode="#,##0&quot; kw&quot;"/>
  </numFmts>
  <fonts count="5" x14ac:knownFonts="1">
    <font>
      <sz val="11"/>
      <color theme="1"/>
      <name val="Calibri"/>
      <family val="2"/>
      <scheme val="minor"/>
    </font>
    <font>
      <b/>
      <sz val="11"/>
      <color theme="1"/>
      <name val="Calibri"/>
      <family val="2"/>
      <scheme val="minor"/>
    </font>
    <font>
      <b/>
      <sz val="10"/>
      <color rgb="FF535354"/>
      <name val="Roboto"/>
    </font>
    <font>
      <sz val="10"/>
      <color rgb="FF535354"/>
      <name val="Roboto"/>
    </font>
    <font>
      <b/>
      <sz val="18"/>
      <color rgb="FF535354"/>
      <name val="Comic Sans MS"/>
      <family val="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thin">
        <color indexed="65"/>
      </left>
      <right/>
      <top style="thin">
        <color indexed="65"/>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
    <xf numFmtId="0" fontId="0" fillId="0" borderId="0"/>
  </cellStyleXfs>
  <cellXfs count="41">
    <xf numFmtId="0" fontId="0" fillId="0" borderId="0" xfId="0"/>
    <xf numFmtId="0" fontId="0" fillId="2" borderId="0" xfId="0" applyFill="1"/>
    <xf numFmtId="0" fontId="0" fillId="3" borderId="0" xfId="0" applyFill="1"/>
    <xf numFmtId="0" fontId="0" fillId="4" borderId="0" xfId="0" applyFill="1"/>
    <xf numFmtId="0" fontId="0" fillId="2" borderId="0" xfId="0" applyFill="1" applyAlignment="1">
      <alignment horizontal="center" vertical="center"/>
    </xf>
    <xf numFmtId="0" fontId="0" fillId="0" borderId="0" xfId="0" applyAlignment="1">
      <alignment horizontal="center" vertical="center"/>
    </xf>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5" fontId="0" fillId="0" borderId="0" xfId="0" applyNumberFormat="1"/>
    <xf numFmtId="0" fontId="1" fillId="0" borderId="2" xfId="0" applyFont="1" applyBorder="1"/>
    <xf numFmtId="0" fontId="1" fillId="0" borderId="2" xfId="0" applyFont="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66" fontId="0" fillId="0" borderId="0" xfId="0" applyNumberFormat="1"/>
    <xf numFmtId="167" fontId="0" fillId="0" borderId="0" xfId="0" applyNumberFormat="1"/>
    <xf numFmtId="17" fontId="0" fillId="2" borderId="0" xfId="0" applyNumberFormat="1" applyFill="1"/>
    <xf numFmtId="0" fontId="1" fillId="2" borderId="0" xfId="0" applyFont="1" applyFill="1" applyAlignment="1">
      <alignment horizontal="center"/>
    </xf>
    <xf numFmtId="0" fontId="0" fillId="0" borderId="3" xfId="0" applyBorder="1"/>
    <xf numFmtId="0" fontId="0" fillId="0" borderId="0" xfId="0" applyProtection="1">
      <protection locked="0"/>
    </xf>
    <xf numFmtId="0" fontId="0" fillId="2" borderId="0" xfId="0" applyFill="1" applyProtection="1">
      <protection locked="0"/>
    </xf>
    <xf numFmtId="0" fontId="1" fillId="2" borderId="0" xfId="0" applyFont="1" applyFill="1" applyProtection="1">
      <protection locked="0"/>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0" borderId="0" xfId="0" applyNumberFormat="1"/>
  </cellXfs>
  <cellStyles count="1">
    <cellStyle name="Normal" xfId="0" builtinId="0"/>
  </cellStyles>
  <dxfs count="152">
    <dxf>
      <numFmt numFmtId="165" formatCode="#,##0\ &quot;€&quot;"/>
    </dxf>
    <dxf>
      <numFmt numFmtId="168" formatCode="#,##0.00\ &quot;€&quot;"/>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numFmt numFmtId="164" formatCode="[$-40C]mmmm\-yy;@"/>
      <fill>
        <patternFill patternType="none">
          <fgColor indexed="64"/>
          <bgColor auto="1"/>
        </patternFill>
      </fill>
    </dxf>
    <dxf>
      <font>
        <strike val="0"/>
        <outline val="0"/>
        <shadow val="0"/>
        <u val="none"/>
        <vertAlign val="baseline"/>
        <sz val="11"/>
        <color rgb="FF000000"/>
        <name val="Calibri"/>
        <family val="2"/>
        <scheme val="none"/>
      </font>
      <fill>
        <patternFill patternType="none">
          <fgColor rgb="FF000000"/>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numFmt numFmtId="164" formatCode="[$-40C]mmmm\-yy;@"/>
      <fill>
        <patternFill patternType="none">
          <fgColor indexed="64"/>
          <bgColor auto="1"/>
        </patternFill>
      </fill>
    </dxf>
    <dxf>
      <font>
        <strike val="0"/>
        <outline val="0"/>
        <shadow val="0"/>
        <u val="none"/>
        <vertAlign val="baseline"/>
        <sz val="11"/>
        <color rgb="FF000000"/>
        <name val="Calibri"/>
        <family val="2"/>
        <scheme val="none"/>
      </font>
      <fill>
        <patternFill patternType="none">
          <fgColor rgb="FF000000"/>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numFmt numFmtId="0" formatCode="General"/>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indexed="65"/>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fill>
        <patternFill patternType="none">
          <fgColor indexed="64"/>
          <bgColor auto="1"/>
        </patternFill>
      </fill>
      <protection locked="0" hidden="0"/>
    </dxf>
    <dxf>
      <font>
        <strike val="0"/>
        <outline val="0"/>
        <shadow val="0"/>
        <u val="none"/>
        <vertAlign val="baseline"/>
        <sz val="11"/>
        <color theme="1"/>
        <name val="Calibri"/>
        <family val="2"/>
        <scheme val="minor"/>
      </font>
      <numFmt numFmtId="164" formatCode="[$-40C]mmmm\-yy;@"/>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9" Type="http://schemas.openxmlformats.org/officeDocument/2006/relationships/calcChain" Target="calcChain.xml"/><Relationship Id="rId21" Type="http://schemas.openxmlformats.org/officeDocument/2006/relationships/worksheet" Target="worksheets/sheet21.xml"/><Relationship Id="rId34" Type="http://schemas.microsoft.com/office/2011/relationships/timelineCache" Target="timelineCaches/timelineCache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microsoft.com/office/2011/relationships/timelineCache" Target="timelineCaches/timelineCache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microsoft.com/office/2007/relationships/slicerCache" Target="slicerCaches/slicerCache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07/relationships/slicerCache" Target="slicerCaches/slicerCache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7/relationships/slicerCache" Target="slicerCaches/slicerCache1.xml"/><Relationship Id="rId30" Type="http://schemas.microsoft.com/office/2007/relationships/slicerCache" Target="slicerCaches/slicerCache4.xml"/><Relationship Id="rId35" Type="http://schemas.microsoft.com/office/2011/relationships/timelineCache" Target="timelineCaches/timelineCache3.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Adrianor.xlsx]Conso_tot_ELEC!Tab_Evolution_Conso_tot_ELEC(1)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a:t>
            </a:r>
            <a:r>
              <a:rPr lang="fr-FR" baseline="0"/>
              <a:t> DE LA CONSOMMATION TOTALE D'ÉLECTRICITÉ </a:t>
            </a:r>
          </a:p>
          <a:p>
            <a:pPr>
              <a:defRPr/>
            </a:pPr>
            <a:r>
              <a:rPr lang="fr-FR" baseline="0"/>
              <a:t>PAR ANNÉE </a:t>
            </a:r>
            <a:r>
              <a:rPr lang="fr-FR" baseline="30000"/>
              <a:t>(1)</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2"/>
          </a:solidFill>
          <a:ln w="28575" cap="rnd">
            <a:solidFill>
              <a:schemeClr val="accent2"/>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2"/>
          </a:solidFill>
          <a:ln w="28575" cap="rnd">
            <a:solidFill>
              <a:schemeClr val="accent2"/>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2"/>
          </a:solidFill>
          <a:ln w="28575" cap="rnd">
            <a:solidFill>
              <a:schemeClr val="accent2"/>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2"/>
          </a:solidFill>
          <a:ln w="28575" cap="rnd">
            <a:solidFill>
              <a:schemeClr val="accent4"/>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1"/>
          <c:showVal val="1"/>
          <c:showCatName val="1"/>
          <c:showSerName val="1"/>
          <c:showPercent val="1"/>
          <c:showBubbleSize val="1"/>
          <c:extLst>
            <c:ext xmlns:c15="http://schemas.microsoft.com/office/drawing/2012/chart" uri="{CE6537A1-D6FC-4f65-9D91-7224C49458BB}"/>
          </c:extLst>
        </c:dLbl>
      </c:pivotFmt>
      <c:pivotFmt>
        <c:idx val="4"/>
        <c:spPr>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Conso_tot_ELEC!$B$3:$B$4</c:f>
              <c:strCache>
                <c:ptCount val="1"/>
                <c:pt idx="0">
                  <c:v>2022</c:v>
                </c:pt>
              </c:strCache>
            </c:strRef>
          </c:tx>
          <c:spPr>
            <a:ln w="28575" cap="rnd">
              <a:solidFill>
                <a:schemeClr val="accent2"/>
              </a:solidFill>
              <a:round/>
            </a:ln>
            <a:effectLst/>
          </c:spPr>
          <c:marker>
            <c:symbol val="none"/>
          </c:marker>
          <c:cat>
            <c:strRef>
              <c:f>Conso_tot_ELEC!$A$5:$A$8</c:f>
              <c:strCache>
                <c:ptCount val="3"/>
                <c:pt idx="0">
                  <c:v>janvier</c:v>
                </c:pt>
                <c:pt idx="1">
                  <c:v>février</c:v>
                </c:pt>
                <c:pt idx="2">
                  <c:v>mars</c:v>
                </c:pt>
              </c:strCache>
            </c:strRef>
          </c:cat>
          <c:val>
            <c:numRef>
              <c:f>Conso_tot_ELEC!$B$5:$B$8</c:f>
              <c:numCache>
                <c:formatCode>General</c:formatCode>
                <c:ptCount val="3"/>
              </c:numCache>
            </c:numRef>
          </c:val>
          <c:smooth val="0"/>
          <c:extLst>
            <c:ext xmlns:c16="http://schemas.microsoft.com/office/drawing/2014/chart" uri="{C3380CC4-5D6E-409C-BE32-E72D297353CC}">
              <c16:uniqueId val="{00000000-62F6-42C2-A512-09747AB490D2}"/>
            </c:ext>
          </c:extLst>
        </c:ser>
        <c:dLbls>
          <c:showLegendKey val="0"/>
          <c:showVal val="0"/>
          <c:showCatName val="0"/>
          <c:showSerName val="0"/>
          <c:showPercent val="0"/>
          <c:showBubbleSize val="0"/>
        </c:dLbls>
        <c:smooth val="0"/>
        <c:axId val="998447168"/>
        <c:axId val="998449248"/>
      </c:lineChart>
      <c:catAx>
        <c:axId val="99844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998449248"/>
        <c:crosses val="autoZero"/>
        <c:auto val="1"/>
        <c:lblAlgn val="ctr"/>
        <c:lblOffset val="100"/>
        <c:noMultiLvlLbl val="0"/>
      </c:catAx>
      <c:valAx>
        <c:axId val="99844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fr-FR" sz="1100"/>
                  <a:t>CONSOMMATION</a:t>
                </a:r>
                <a:r>
                  <a:rPr lang="fr-FR" sz="1100" baseline="0"/>
                  <a:t> D'ÉLECTRICITÉ EN KW</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99844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Adrianor.xlsx]Conso_tot_GAZ!Tab_histo_cout_conso_tot_GAZ(17)</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COÛT DE LA CONSOMMATION DE GAZ PAR ANNÉE </a:t>
            </a:r>
            <a:r>
              <a:rPr lang="en-US" sz="1400" b="0" baseline="30000"/>
              <a:t>(17)</a:t>
            </a:r>
            <a:endParaRPr lang="en-US"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Conso_tot_GAZ!$B$25:$B$26</c:f>
              <c:strCache>
                <c:ptCount val="1"/>
                <c:pt idx="0">
                  <c:v>2022</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Conso_tot_GAZ!$A$27</c:f>
              <c:strCache>
                <c:ptCount val="1"/>
                <c:pt idx="0">
                  <c:v>Total</c:v>
                </c:pt>
              </c:strCache>
            </c:strRef>
          </c:cat>
          <c:val>
            <c:numRef>
              <c:f>Conso_tot_GAZ!$B$27</c:f>
              <c:numCache>
                <c:formatCode>#\ ##0\ "€"</c:formatCode>
                <c:ptCount val="1"/>
                <c:pt idx="0">
                  <c:v>0</c:v>
                </c:pt>
              </c:numCache>
            </c:numRef>
          </c:val>
          <c:extLst>
            <c:ext xmlns:c16="http://schemas.microsoft.com/office/drawing/2014/chart" uri="{C3380CC4-5D6E-409C-BE32-E72D297353CC}">
              <c16:uniqueId val="{00000000-5D7C-4E7E-845C-448BFC6EF4FD}"/>
            </c:ext>
          </c:extLst>
        </c:ser>
        <c:dLbls>
          <c:dLblPos val="outEnd"/>
          <c:showLegendKey val="0"/>
          <c:showVal val="1"/>
          <c:showCatName val="0"/>
          <c:showSerName val="0"/>
          <c:showPercent val="0"/>
          <c:showBubbleSize val="0"/>
        </c:dLbls>
        <c:gapWidth val="355"/>
        <c:overlap val="-70"/>
        <c:axId val="1068837680"/>
        <c:axId val="1068826448"/>
      </c:barChart>
      <c:catAx>
        <c:axId val="1068837680"/>
        <c:scaling>
          <c:orientation val="minMax"/>
        </c:scaling>
        <c:delete val="1"/>
        <c:axPos val="b"/>
        <c:numFmt formatCode="General" sourceLinked="1"/>
        <c:majorTickMark val="none"/>
        <c:minorTickMark val="none"/>
        <c:tickLblPos val="nextTo"/>
        <c:crossAx val="1068826448"/>
        <c:crosses val="autoZero"/>
        <c:auto val="1"/>
        <c:lblAlgn val="ctr"/>
        <c:lblOffset val="100"/>
        <c:noMultiLvlLbl val="0"/>
      </c:catAx>
      <c:valAx>
        <c:axId val="1068826448"/>
        <c:scaling>
          <c:orientation val="minMax"/>
        </c:scaling>
        <c:delete val="1"/>
        <c:axPos val="l"/>
        <c:numFmt formatCode="#\ ##0\ &quot;€&quot;" sourceLinked="1"/>
        <c:majorTickMark val="none"/>
        <c:minorTickMark val="none"/>
        <c:tickLblPos val="nextTo"/>
        <c:crossAx val="1068837680"/>
        <c:crosses val="autoZero"/>
        <c:crossBetween val="between"/>
      </c:valAx>
      <c:spPr>
        <a:noFill/>
        <a:ln>
          <a:solidFill>
            <a:schemeClr val="bg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Adrianor.xlsx]Conso_postes_GAZ!Tab_histo_conso_postes_GAZ(18)</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CONSOMMATION DE GAZ DES DIFFÉRENTS POSTES PAR ANNÉE </a:t>
            </a:r>
            <a:r>
              <a:rPr lang="en-US" sz="1400" b="0" baseline="30000"/>
              <a:t>(18)</a:t>
            </a:r>
            <a:endParaRPr lang="en-US"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92902704"/>
        <c:axId val="92914768"/>
      </c:barChart>
      <c:catAx>
        <c:axId val="9290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92914768"/>
        <c:crosses val="autoZero"/>
        <c:auto val="1"/>
        <c:lblAlgn val="ctr"/>
        <c:lblOffset val="100"/>
        <c:noMultiLvlLbl val="0"/>
      </c:catAx>
      <c:valAx>
        <c:axId val="9291476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fr-FR" sz="1100"/>
                  <a:t>CONSOMMATION</a:t>
                </a:r>
                <a:r>
                  <a:rPr lang="fr-FR" sz="1100" baseline="0"/>
                  <a:t> DE GAZ EN KW</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9290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Adrianor.xlsx]Coût_conso_postes_GAZ!Tab_histo_cout_conso_postes_GAZ(19)</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COÛT DE LA CONSOMMATION DE GAZ DES DIFFÉRENTS POSTES PAR ANNÉE </a:t>
            </a:r>
            <a:r>
              <a:rPr lang="en-US" sz="1400" b="0" baseline="30000"/>
              <a:t>(19)</a:t>
            </a:r>
            <a:endParaRPr lang="en-US"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1061627616"/>
        <c:axId val="930289984"/>
      </c:barChart>
      <c:catAx>
        <c:axId val="106162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930289984"/>
        <c:crosses val="autoZero"/>
        <c:auto val="1"/>
        <c:lblAlgn val="ctr"/>
        <c:lblOffset val="100"/>
        <c:noMultiLvlLbl val="0"/>
      </c:catAx>
      <c:valAx>
        <c:axId val="930289984"/>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sz="1100"/>
                  <a:t>COÛT de la consommation de gaz EN €</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061627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2"/>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Adrianor.xlsx]Evo_conso_postes_GAZ!Tab_evolution_conso_postes_GAZ(20)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 LA CONSOMMATION DE GAZ DES DIFFÉRENTS POSTES DURANT LA PÉRIODE SÉLECTIONNÉE </a:t>
            </a:r>
            <a:r>
              <a:rPr lang="en-US" baseline="30000"/>
              <a:t>(20)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3"/>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2">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3">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2">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3">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2">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8575" cap="rnd">
            <a:solidFill>
              <a:schemeClr val="accent3"/>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w="28575" cap="rnd">
            <a:solidFill>
              <a:schemeClr val="accent1">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2">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8575" cap="rnd">
            <a:solidFill>
              <a:schemeClr val="accent3">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2">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3">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2">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3"/>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2">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3">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2">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3">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chemeClr val="accent1">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2">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dLbls>
          <c:showLegendKey val="0"/>
          <c:showVal val="0"/>
          <c:showCatName val="0"/>
          <c:showSerName val="0"/>
          <c:showPercent val="0"/>
          <c:showBubbleSize val="0"/>
        </c:dLbls>
        <c:marker val="1"/>
        <c:smooth val="0"/>
        <c:axId val="573631600"/>
        <c:axId val="573640336"/>
      </c:lineChart>
      <c:catAx>
        <c:axId val="57363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3640336"/>
        <c:crosses val="autoZero"/>
        <c:auto val="1"/>
        <c:lblAlgn val="ctr"/>
        <c:lblOffset val="100"/>
        <c:noMultiLvlLbl val="0"/>
      </c:catAx>
      <c:valAx>
        <c:axId val="573640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CONSOMMATION DE GAZ EN KW</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363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Adrianor.xlsx]Secteur_conso_postes_GAZ!Tab_secteur_conso_postes_GAZ(21)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POURCENTAGE DE LA CONSOMMATION DE GAZ DES DIFFÉRENTS POSTES </a:t>
            </a:r>
            <a:r>
              <a:rPr lang="en-US" baseline="30000"/>
              <a:t>(21)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19050">
            <a:solidFill>
              <a:schemeClr val="lt1"/>
            </a:solidFill>
          </a:ln>
          <a:effectLst/>
        </c:spPr>
        <c:marker>
          <c:symbol val="none"/>
        </c:marker>
        <c:dLbl>
          <c:idx val="0"/>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3"/>
          </a:solidFill>
          <a:ln w="19050">
            <a:solidFill>
              <a:schemeClr val="lt1"/>
            </a:solidFill>
          </a:ln>
          <a:effectLst/>
        </c:spPr>
      </c:pivotFmt>
      <c:pivotFmt>
        <c:idx val="4"/>
        <c:spPr>
          <a:solidFill>
            <a:schemeClr val="accent4"/>
          </a:solidFill>
          <a:ln w="19050">
            <a:solidFill>
              <a:schemeClr val="lt1"/>
            </a:solidFill>
          </a:ln>
          <a:effectLst/>
        </c:spPr>
      </c:pivotFmt>
      <c:pivotFmt>
        <c:idx val="5"/>
        <c:spPr>
          <a:solidFill>
            <a:schemeClr val="accent5"/>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1">
              <a:lumMod val="60000"/>
            </a:schemeClr>
          </a:solidFill>
          <a:ln w="19050">
            <a:solidFill>
              <a:schemeClr val="lt1"/>
            </a:solidFill>
          </a:ln>
          <a:effectLst/>
        </c:spPr>
      </c:pivotFmt>
      <c:pivotFmt>
        <c:idx val="8"/>
        <c:spPr>
          <a:solidFill>
            <a:schemeClr val="accent2">
              <a:lumMod val="60000"/>
            </a:schemeClr>
          </a:solidFill>
          <a:ln w="19050">
            <a:solidFill>
              <a:schemeClr val="lt1"/>
            </a:solidFill>
          </a:ln>
          <a:effectLst/>
        </c:spPr>
      </c:pivotFmt>
      <c:pivotFmt>
        <c:idx val="9"/>
        <c:spPr>
          <a:solidFill>
            <a:schemeClr val="accent3">
              <a:lumMod val="60000"/>
            </a:schemeClr>
          </a:solidFill>
          <a:ln w="19050">
            <a:solidFill>
              <a:schemeClr val="lt1"/>
            </a:solidFill>
          </a:ln>
          <a:effectLst/>
        </c:spPr>
      </c:pivotFmt>
      <c:pivotFmt>
        <c:idx val="10"/>
        <c:spPr>
          <a:solidFill>
            <a:schemeClr val="accent4">
              <a:lumMod val="60000"/>
            </a:schemeClr>
          </a:solidFill>
          <a:ln w="19050">
            <a:solidFill>
              <a:schemeClr val="lt1"/>
            </a:solidFill>
          </a:ln>
          <a:effectLst/>
        </c:spPr>
      </c:pivotFmt>
      <c:pivotFmt>
        <c:idx val="11"/>
        <c:spPr>
          <a:solidFill>
            <a:schemeClr val="accent5">
              <a:lumMod val="60000"/>
            </a:schemeClr>
          </a:solidFill>
          <a:ln w="19050">
            <a:solidFill>
              <a:schemeClr val="lt1"/>
            </a:solidFill>
          </a:ln>
          <a:effectLst/>
        </c:spPr>
      </c:pivotFmt>
      <c:pivotFmt>
        <c:idx val="12"/>
        <c:spPr>
          <a:solidFill>
            <a:schemeClr val="accent6">
              <a:lumMod val="60000"/>
            </a:schemeClr>
          </a:solidFill>
          <a:ln w="19050">
            <a:solidFill>
              <a:schemeClr val="lt1"/>
            </a:solidFill>
          </a:ln>
          <a:effectLst/>
        </c:spPr>
      </c:pivotFmt>
      <c:pivotFmt>
        <c:idx val="13"/>
        <c:spPr>
          <a:solidFill>
            <a:schemeClr val="accent1">
              <a:lumMod val="80000"/>
              <a:lumOff val="20000"/>
            </a:schemeClr>
          </a:solidFill>
          <a:ln w="19050">
            <a:solidFill>
              <a:schemeClr val="lt1"/>
            </a:solidFill>
          </a:ln>
          <a:effectLst/>
        </c:spPr>
      </c:pivotFmt>
      <c:pivotFmt>
        <c:idx val="14"/>
        <c:spPr>
          <a:solidFill>
            <a:schemeClr val="accent2">
              <a:lumMod val="80000"/>
              <a:lumOff val="20000"/>
            </a:schemeClr>
          </a:solidFill>
          <a:ln w="19050">
            <a:solidFill>
              <a:schemeClr val="lt1"/>
            </a:solidFill>
          </a:ln>
          <a:effectLst/>
        </c:spPr>
      </c:pivotFmt>
      <c:pivotFmt>
        <c:idx val="15"/>
        <c:spPr>
          <a:solidFill>
            <a:schemeClr val="accent3">
              <a:lumMod val="80000"/>
              <a:lumOff val="20000"/>
            </a:schemeClr>
          </a:solidFill>
          <a:ln w="19050">
            <a:solidFill>
              <a:schemeClr val="lt1"/>
            </a:solidFill>
          </a:ln>
          <a:effectLst/>
        </c:spPr>
      </c:pivotFmt>
      <c:pivotFmt>
        <c:idx val="16"/>
        <c:spPr>
          <a:solidFill>
            <a:schemeClr val="accent4">
              <a:lumMod val="80000"/>
              <a:lumOff val="20000"/>
            </a:schemeClr>
          </a:solidFill>
          <a:ln w="19050">
            <a:solidFill>
              <a:schemeClr val="lt1"/>
            </a:solidFill>
          </a:ln>
          <a:effectLst/>
        </c:spPr>
      </c:pivotFmt>
      <c:pivotFmt>
        <c:idx val="17"/>
        <c:spPr>
          <a:solidFill>
            <a:schemeClr val="accent5">
              <a:lumMod val="80000"/>
              <a:lumOff val="20000"/>
            </a:schemeClr>
          </a:solidFill>
          <a:ln w="19050">
            <a:solidFill>
              <a:schemeClr val="lt1"/>
            </a:solidFill>
          </a:ln>
          <a:effectLst/>
        </c:spPr>
      </c:pivotFmt>
      <c:pivotFmt>
        <c:idx val="18"/>
        <c:spPr>
          <a:solidFill>
            <a:schemeClr val="accent6">
              <a:lumMod val="80000"/>
              <a:lumOff val="20000"/>
            </a:schemeClr>
          </a:solidFill>
          <a:ln w="19050">
            <a:solidFill>
              <a:schemeClr val="lt1"/>
            </a:solidFill>
          </a:ln>
          <a:effectLst/>
        </c:spPr>
      </c:pivotFmt>
      <c:pivotFmt>
        <c:idx val="19"/>
        <c:spPr>
          <a:solidFill>
            <a:schemeClr val="accent1">
              <a:lumMod val="80000"/>
            </a:schemeClr>
          </a:solidFill>
          <a:ln w="19050">
            <a:solidFill>
              <a:schemeClr val="lt1"/>
            </a:solidFill>
          </a:ln>
          <a:effectLst/>
        </c:spPr>
      </c:pivotFmt>
      <c:pivotFmt>
        <c:idx val="20"/>
        <c:spPr>
          <a:solidFill>
            <a:schemeClr val="accent2">
              <a:lumMod val="80000"/>
            </a:schemeClr>
          </a:solidFill>
          <a:ln w="19050">
            <a:solidFill>
              <a:schemeClr val="lt1"/>
            </a:solidFill>
          </a:ln>
          <a:effectLst/>
        </c:spPr>
      </c:pivotFmt>
      <c:pivotFmt>
        <c:idx val="21"/>
        <c:spPr>
          <a:solidFill>
            <a:schemeClr val="accent1"/>
          </a:solidFill>
          <a:ln w="19050">
            <a:solidFill>
              <a:schemeClr val="lt1"/>
            </a:solidFill>
          </a:ln>
          <a:effectLst/>
        </c:spPr>
        <c:marker>
          <c:symbol val="none"/>
        </c:marker>
        <c:dLbl>
          <c:idx val="0"/>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22"/>
        <c:spPr>
          <a:solidFill>
            <a:schemeClr val="accent1"/>
          </a:solidFill>
          <a:ln w="19050">
            <a:solidFill>
              <a:schemeClr val="lt1"/>
            </a:solidFill>
          </a:ln>
          <a:effectLst/>
        </c:spPr>
      </c:pivotFmt>
      <c:pivotFmt>
        <c:idx val="23"/>
        <c:spPr>
          <a:solidFill>
            <a:schemeClr val="accent2"/>
          </a:solidFill>
          <a:ln w="19050">
            <a:solidFill>
              <a:schemeClr val="lt1"/>
            </a:solidFill>
          </a:ln>
          <a:effectLst/>
        </c:spPr>
      </c:pivotFmt>
      <c:pivotFmt>
        <c:idx val="24"/>
        <c:spPr>
          <a:solidFill>
            <a:schemeClr val="accent3"/>
          </a:solidFill>
          <a:ln w="19050">
            <a:solidFill>
              <a:schemeClr val="lt1"/>
            </a:solidFill>
          </a:ln>
          <a:effectLst/>
        </c:spPr>
      </c:pivotFmt>
      <c:pivotFmt>
        <c:idx val="25"/>
        <c:spPr>
          <a:solidFill>
            <a:schemeClr val="accent4"/>
          </a:solidFill>
          <a:ln w="19050">
            <a:solidFill>
              <a:schemeClr val="lt1"/>
            </a:solidFill>
          </a:ln>
          <a:effectLst/>
        </c:spPr>
      </c:pivotFmt>
      <c:pivotFmt>
        <c:idx val="26"/>
        <c:spPr>
          <a:solidFill>
            <a:schemeClr val="accent5"/>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1">
              <a:lumMod val="60000"/>
            </a:schemeClr>
          </a:solidFill>
          <a:ln w="19050">
            <a:solidFill>
              <a:schemeClr val="lt1"/>
            </a:solidFill>
          </a:ln>
          <a:effectLst/>
        </c:spPr>
      </c:pivotFmt>
      <c:pivotFmt>
        <c:idx val="29"/>
        <c:spPr>
          <a:solidFill>
            <a:schemeClr val="accent2">
              <a:lumMod val="60000"/>
            </a:schemeClr>
          </a:solidFill>
          <a:ln w="19050">
            <a:solidFill>
              <a:schemeClr val="lt1"/>
            </a:solidFill>
          </a:ln>
          <a:effectLst/>
        </c:spPr>
      </c:pivotFmt>
      <c:pivotFmt>
        <c:idx val="30"/>
        <c:spPr>
          <a:solidFill>
            <a:schemeClr val="accent3">
              <a:lumMod val="60000"/>
            </a:schemeClr>
          </a:solidFill>
          <a:ln w="19050">
            <a:solidFill>
              <a:schemeClr val="lt1"/>
            </a:solidFill>
          </a:ln>
          <a:effectLst/>
        </c:spPr>
      </c:pivotFmt>
      <c:pivotFmt>
        <c:idx val="31"/>
        <c:spPr>
          <a:solidFill>
            <a:schemeClr val="accent4">
              <a:lumMod val="60000"/>
            </a:schemeClr>
          </a:solidFill>
          <a:ln w="19050">
            <a:solidFill>
              <a:schemeClr val="lt1"/>
            </a:solidFill>
          </a:ln>
          <a:effectLst/>
        </c:spPr>
      </c:pivotFmt>
      <c:pivotFmt>
        <c:idx val="32"/>
        <c:spPr>
          <a:solidFill>
            <a:schemeClr val="accent5">
              <a:lumMod val="60000"/>
            </a:schemeClr>
          </a:solidFill>
          <a:ln w="19050">
            <a:solidFill>
              <a:schemeClr val="lt1"/>
            </a:solidFill>
          </a:ln>
          <a:effectLst/>
        </c:spPr>
      </c:pivotFmt>
      <c:pivotFmt>
        <c:idx val="33"/>
        <c:spPr>
          <a:solidFill>
            <a:schemeClr val="accent6">
              <a:lumMod val="60000"/>
            </a:schemeClr>
          </a:solidFill>
          <a:ln w="19050">
            <a:solidFill>
              <a:schemeClr val="lt1"/>
            </a:solidFill>
          </a:ln>
          <a:effectLst/>
        </c:spPr>
      </c:pivotFmt>
      <c:pivotFmt>
        <c:idx val="34"/>
        <c:spPr>
          <a:solidFill>
            <a:schemeClr val="accent1">
              <a:lumMod val="80000"/>
              <a:lumOff val="20000"/>
            </a:schemeClr>
          </a:solidFill>
          <a:ln w="19050">
            <a:solidFill>
              <a:schemeClr val="lt1"/>
            </a:solidFill>
          </a:ln>
          <a:effectLst/>
        </c:spPr>
      </c:pivotFmt>
      <c:pivotFmt>
        <c:idx val="35"/>
        <c:spPr>
          <a:solidFill>
            <a:schemeClr val="accent2">
              <a:lumMod val="80000"/>
              <a:lumOff val="20000"/>
            </a:schemeClr>
          </a:solidFill>
          <a:ln w="19050">
            <a:solidFill>
              <a:schemeClr val="lt1"/>
            </a:solidFill>
          </a:ln>
          <a:effectLst/>
        </c:spPr>
      </c:pivotFmt>
      <c:pivotFmt>
        <c:idx val="36"/>
        <c:spPr>
          <a:solidFill>
            <a:schemeClr val="accent3">
              <a:lumMod val="80000"/>
              <a:lumOff val="20000"/>
            </a:schemeClr>
          </a:solidFill>
          <a:ln w="19050">
            <a:solidFill>
              <a:schemeClr val="lt1"/>
            </a:solidFill>
          </a:ln>
          <a:effectLst/>
        </c:spPr>
      </c:pivotFmt>
      <c:pivotFmt>
        <c:idx val="37"/>
        <c:spPr>
          <a:solidFill>
            <a:schemeClr val="accent4">
              <a:lumMod val="80000"/>
              <a:lumOff val="20000"/>
            </a:schemeClr>
          </a:solidFill>
          <a:ln w="19050">
            <a:solidFill>
              <a:schemeClr val="lt1"/>
            </a:solidFill>
          </a:ln>
          <a:effectLst/>
        </c:spPr>
      </c:pivotFmt>
      <c:pivotFmt>
        <c:idx val="38"/>
        <c:spPr>
          <a:solidFill>
            <a:schemeClr val="accent5">
              <a:lumMod val="80000"/>
              <a:lumOff val="20000"/>
            </a:schemeClr>
          </a:solidFill>
          <a:ln w="19050">
            <a:solidFill>
              <a:schemeClr val="lt1"/>
            </a:solidFill>
          </a:ln>
          <a:effectLst/>
        </c:spPr>
      </c:pivotFmt>
      <c:pivotFmt>
        <c:idx val="39"/>
        <c:spPr>
          <a:solidFill>
            <a:schemeClr val="accent6">
              <a:lumMod val="80000"/>
              <a:lumOff val="20000"/>
            </a:schemeClr>
          </a:solidFill>
          <a:ln w="19050">
            <a:solidFill>
              <a:schemeClr val="lt1"/>
            </a:solidFill>
          </a:ln>
          <a:effectLst/>
        </c:spPr>
      </c:pivotFmt>
      <c:pivotFmt>
        <c:idx val="40"/>
        <c:spPr>
          <a:solidFill>
            <a:schemeClr val="accent1">
              <a:lumMod val="80000"/>
            </a:schemeClr>
          </a:solidFill>
          <a:ln w="19050">
            <a:solidFill>
              <a:schemeClr val="lt1"/>
            </a:solidFill>
          </a:ln>
          <a:effectLst/>
        </c:spPr>
      </c:pivotFmt>
      <c:pivotFmt>
        <c:idx val="41"/>
        <c:spPr>
          <a:solidFill>
            <a:schemeClr val="accent2">
              <a:lumMod val="80000"/>
            </a:schemeClr>
          </a:solidFill>
          <a:ln w="19050">
            <a:solidFill>
              <a:schemeClr val="lt1"/>
            </a:solidFill>
          </a:ln>
          <a:effectLst/>
        </c:spPr>
      </c:pivotFmt>
      <c:pivotFmt>
        <c:idx val="42"/>
        <c:spPr>
          <a:solidFill>
            <a:schemeClr val="accent1"/>
          </a:solidFill>
          <a:ln w="19050">
            <a:solidFill>
              <a:schemeClr val="lt1"/>
            </a:solidFill>
          </a:ln>
          <a:effectLst/>
        </c:spPr>
        <c:marker>
          <c:symbol val="none"/>
        </c:marker>
        <c:dLbl>
          <c:idx val="0"/>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43"/>
        <c:spPr>
          <a:solidFill>
            <a:schemeClr val="accent1"/>
          </a:solidFill>
          <a:ln w="19050">
            <a:solidFill>
              <a:schemeClr val="lt1"/>
            </a:solidFill>
          </a:ln>
          <a:effectLst/>
        </c:spPr>
      </c:pivotFmt>
      <c:pivotFmt>
        <c:idx val="44"/>
        <c:spPr>
          <a:solidFill>
            <a:schemeClr val="accent2"/>
          </a:solidFill>
          <a:ln w="19050">
            <a:solidFill>
              <a:schemeClr val="lt1"/>
            </a:solidFill>
          </a:ln>
          <a:effectLst/>
        </c:spPr>
      </c:pivotFmt>
      <c:pivotFmt>
        <c:idx val="45"/>
        <c:spPr>
          <a:solidFill>
            <a:schemeClr val="accent3"/>
          </a:solidFill>
          <a:ln w="19050">
            <a:solidFill>
              <a:schemeClr val="lt1"/>
            </a:solidFill>
          </a:ln>
          <a:effectLst/>
        </c:spPr>
      </c:pivotFmt>
      <c:pivotFmt>
        <c:idx val="46"/>
        <c:spPr>
          <a:solidFill>
            <a:schemeClr val="accent4"/>
          </a:solidFill>
          <a:ln w="19050">
            <a:solidFill>
              <a:schemeClr val="lt1"/>
            </a:solidFill>
          </a:ln>
          <a:effectLst/>
        </c:spPr>
      </c:pivotFmt>
      <c:pivotFmt>
        <c:idx val="47"/>
        <c:spPr>
          <a:solidFill>
            <a:schemeClr val="accent5"/>
          </a:solidFill>
          <a:ln w="19050">
            <a:solidFill>
              <a:schemeClr val="lt1"/>
            </a:solidFill>
          </a:ln>
          <a:effectLst/>
        </c:spPr>
      </c:pivotFmt>
      <c:pivotFmt>
        <c:idx val="48"/>
        <c:spPr>
          <a:solidFill>
            <a:schemeClr val="accent6"/>
          </a:solidFill>
          <a:ln w="19050">
            <a:solidFill>
              <a:schemeClr val="lt1"/>
            </a:solidFill>
          </a:ln>
          <a:effectLst/>
        </c:spPr>
      </c:pivotFmt>
      <c:pivotFmt>
        <c:idx val="49"/>
        <c:spPr>
          <a:solidFill>
            <a:schemeClr val="accent1">
              <a:lumMod val="60000"/>
            </a:schemeClr>
          </a:solidFill>
          <a:ln w="19050">
            <a:solidFill>
              <a:schemeClr val="lt1"/>
            </a:solidFill>
          </a:ln>
          <a:effectLst/>
        </c:spPr>
      </c:pivotFmt>
      <c:pivotFmt>
        <c:idx val="50"/>
        <c:spPr>
          <a:solidFill>
            <a:schemeClr val="accent2">
              <a:lumMod val="60000"/>
            </a:schemeClr>
          </a:solidFill>
          <a:ln w="19050">
            <a:solidFill>
              <a:schemeClr val="lt1"/>
            </a:solidFill>
          </a:ln>
          <a:effectLst/>
        </c:spPr>
      </c:pivotFmt>
      <c:pivotFmt>
        <c:idx val="51"/>
        <c:spPr>
          <a:solidFill>
            <a:schemeClr val="accent3">
              <a:lumMod val="60000"/>
            </a:schemeClr>
          </a:solidFill>
          <a:ln w="19050">
            <a:solidFill>
              <a:schemeClr val="lt1"/>
            </a:solidFill>
          </a:ln>
          <a:effectLst/>
        </c:spPr>
      </c:pivotFmt>
      <c:pivotFmt>
        <c:idx val="52"/>
        <c:spPr>
          <a:solidFill>
            <a:schemeClr val="accent4">
              <a:lumMod val="60000"/>
            </a:schemeClr>
          </a:solidFill>
          <a:ln w="19050">
            <a:solidFill>
              <a:schemeClr val="lt1"/>
            </a:solidFill>
          </a:ln>
          <a:effectLst/>
        </c:spPr>
      </c:pivotFmt>
      <c:pivotFmt>
        <c:idx val="53"/>
        <c:spPr>
          <a:solidFill>
            <a:schemeClr val="accent5">
              <a:lumMod val="60000"/>
            </a:schemeClr>
          </a:solidFill>
          <a:ln w="19050">
            <a:solidFill>
              <a:schemeClr val="lt1"/>
            </a:solidFill>
          </a:ln>
          <a:effectLst/>
        </c:spPr>
      </c:pivotFmt>
      <c:pivotFmt>
        <c:idx val="54"/>
        <c:spPr>
          <a:solidFill>
            <a:schemeClr val="accent6">
              <a:lumMod val="60000"/>
            </a:schemeClr>
          </a:solidFill>
          <a:ln w="19050">
            <a:solidFill>
              <a:schemeClr val="lt1"/>
            </a:solidFill>
          </a:ln>
          <a:effectLst/>
        </c:spPr>
      </c:pivotFmt>
      <c:pivotFmt>
        <c:idx val="55"/>
        <c:spPr>
          <a:solidFill>
            <a:schemeClr val="accent1">
              <a:lumMod val="80000"/>
              <a:lumOff val="20000"/>
            </a:schemeClr>
          </a:solidFill>
          <a:ln w="19050">
            <a:solidFill>
              <a:schemeClr val="lt1"/>
            </a:solidFill>
          </a:ln>
          <a:effectLst/>
        </c:spPr>
      </c:pivotFmt>
      <c:pivotFmt>
        <c:idx val="56"/>
        <c:spPr>
          <a:solidFill>
            <a:schemeClr val="accent2">
              <a:lumMod val="80000"/>
              <a:lumOff val="20000"/>
            </a:schemeClr>
          </a:solidFill>
          <a:ln w="19050">
            <a:solidFill>
              <a:schemeClr val="lt1"/>
            </a:solidFill>
          </a:ln>
          <a:effectLst/>
        </c:spPr>
      </c:pivotFmt>
      <c:pivotFmt>
        <c:idx val="57"/>
        <c:spPr>
          <a:solidFill>
            <a:schemeClr val="accent3">
              <a:lumMod val="80000"/>
              <a:lumOff val="20000"/>
            </a:schemeClr>
          </a:solidFill>
          <a:ln w="19050">
            <a:solidFill>
              <a:schemeClr val="lt1"/>
            </a:solidFill>
          </a:ln>
          <a:effectLst/>
        </c:spPr>
      </c:pivotFmt>
      <c:pivotFmt>
        <c:idx val="58"/>
        <c:spPr>
          <a:solidFill>
            <a:schemeClr val="accent4">
              <a:lumMod val="80000"/>
              <a:lumOff val="20000"/>
            </a:schemeClr>
          </a:solidFill>
          <a:ln w="19050">
            <a:solidFill>
              <a:schemeClr val="lt1"/>
            </a:solidFill>
          </a:ln>
          <a:effectLst/>
        </c:spPr>
      </c:pivotFmt>
      <c:pivotFmt>
        <c:idx val="59"/>
        <c:spPr>
          <a:solidFill>
            <a:schemeClr val="accent5">
              <a:lumMod val="80000"/>
              <a:lumOff val="20000"/>
            </a:schemeClr>
          </a:solidFill>
          <a:ln w="19050">
            <a:solidFill>
              <a:schemeClr val="lt1"/>
            </a:solidFill>
          </a:ln>
          <a:effectLst/>
        </c:spPr>
      </c:pivotFmt>
      <c:pivotFmt>
        <c:idx val="60"/>
        <c:spPr>
          <a:solidFill>
            <a:schemeClr val="accent6">
              <a:lumMod val="80000"/>
              <a:lumOff val="20000"/>
            </a:schemeClr>
          </a:solidFill>
          <a:ln w="19050">
            <a:solidFill>
              <a:schemeClr val="lt1"/>
            </a:solidFill>
          </a:ln>
          <a:effectLst/>
        </c:spPr>
      </c:pivotFmt>
      <c:pivotFmt>
        <c:idx val="61"/>
        <c:spPr>
          <a:solidFill>
            <a:schemeClr val="accent1">
              <a:lumMod val="80000"/>
            </a:schemeClr>
          </a:solidFill>
          <a:ln w="19050">
            <a:solidFill>
              <a:schemeClr val="lt1"/>
            </a:solidFill>
          </a:ln>
          <a:effectLst/>
        </c:spPr>
      </c:pivotFmt>
      <c:pivotFmt>
        <c:idx val="62"/>
        <c:spPr>
          <a:solidFill>
            <a:schemeClr val="accent2">
              <a:lumMod val="80000"/>
            </a:schemeClr>
          </a:solidFill>
          <a:ln w="19050">
            <a:solidFill>
              <a:schemeClr val="lt1"/>
            </a:solidFill>
          </a:ln>
          <a:effectLst/>
        </c:spPr>
      </c:pivotFmt>
    </c:pivotFmts>
    <c:plotArea>
      <c:layout/>
      <c:pieChart>
        <c:varyColors val="1"/>
        <c:dLbls>
          <c:dLblPos val="outEnd"/>
          <c:showLegendKey val="0"/>
          <c:showVal val="1"/>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Adrianor.xlsx]Conso_tot_EAU!Tab_Evolution_conso_tot_EAU(8)</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a:t>
            </a:r>
            <a:r>
              <a:rPr lang="fr-FR" baseline="0"/>
              <a:t> DE LA CONSOMMATION TOTALE D'EAU PAR ANNÉE </a:t>
            </a:r>
            <a:r>
              <a:rPr lang="fr-FR" baseline="30000"/>
              <a:t>(8)</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Conso_tot_EAU!$B$3:$B$4</c:f>
              <c:strCache>
                <c:ptCount val="1"/>
                <c:pt idx="0">
                  <c:v>2022</c:v>
                </c:pt>
              </c:strCache>
            </c:strRef>
          </c:tx>
          <c:spPr>
            <a:ln w="28575" cap="rnd">
              <a:solidFill>
                <a:schemeClr val="accent6"/>
              </a:solidFill>
              <a:round/>
            </a:ln>
            <a:effectLst/>
          </c:spPr>
          <c:marker>
            <c:symbol val="none"/>
          </c:marker>
          <c:cat>
            <c:strRef>
              <c:f>Conso_tot_EAU!$A$5:$A$8</c:f>
              <c:strCache>
                <c:ptCount val="3"/>
                <c:pt idx="0">
                  <c:v>janvier</c:v>
                </c:pt>
                <c:pt idx="1">
                  <c:v>février</c:v>
                </c:pt>
                <c:pt idx="2">
                  <c:v>mars</c:v>
                </c:pt>
              </c:strCache>
            </c:strRef>
          </c:cat>
          <c:val>
            <c:numRef>
              <c:f>Conso_tot_EAU!$B$5:$B$8</c:f>
              <c:numCache>
                <c:formatCode>General</c:formatCode>
                <c:ptCount val="3"/>
              </c:numCache>
            </c:numRef>
          </c:val>
          <c:smooth val="0"/>
          <c:extLst>
            <c:ext xmlns:c16="http://schemas.microsoft.com/office/drawing/2014/chart" uri="{C3380CC4-5D6E-409C-BE32-E72D297353CC}">
              <c16:uniqueId val="{00000000-019C-42FF-89CE-56CBC437D083}"/>
            </c:ext>
          </c:extLst>
        </c:ser>
        <c:dLbls>
          <c:showLegendKey val="0"/>
          <c:showVal val="0"/>
          <c:showCatName val="0"/>
          <c:showSerName val="0"/>
          <c:showPercent val="0"/>
          <c:showBubbleSize val="0"/>
        </c:dLbls>
        <c:smooth val="0"/>
        <c:axId val="573599152"/>
        <c:axId val="573613296"/>
      </c:lineChart>
      <c:catAx>
        <c:axId val="57359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3613296"/>
        <c:crosses val="autoZero"/>
        <c:auto val="1"/>
        <c:lblAlgn val="ctr"/>
        <c:lblOffset val="100"/>
        <c:noMultiLvlLbl val="0"/>
      </c:catAx>
      <c:valAx>
        <c:axId val="57361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fr-FR" sz="1100"/>
                  <a:t>CONSOMMATION</a:t>
                </a:r>
                <a:r>
                  <a:rPr lang="fr-FR" sz="1100" baseline="0"/>
                  <a:t> D'EAU EN M</a:t>
                </a:r>
                <a:r>
                  <a:rPr lang="fr-FR" sz="1100" b="0" i="0" u="none" strike="noStrike" baseline="0">
                    <a:effectLst/>
                  </a:rPr>
                  <a:t>³</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7359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Adrianor.xlsx]Conso_tot_EAU!Tab_histo_conso_tot_EAU(9)</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CONSOMMATION TOTALE D'EAU PAR ANNÉE </a:t>
            </a:r>
            <a:r>
              <a:rPr lang="en-US" sz="1400" b="0" baseline="30000"/>
              <a:t>(9)</a:t>
            </a:r>
            <a:endParaRPr lang="en-US"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Conso_tot_EAU!$B$20:$B$21</c:f>
              <c:strCache>
                <c:ptCount val="1"/>
                <c:pt idx="0">
                  <c:v>2022</c:v>
                </c:pt>
              </c:strCache>
            </c:strRef>
          </c:tx>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Conso_tot_EAU!$A$22</c:f>
              <c:strCache>
                <c:ptCount val="1"/>
                <c:pt idx="0">
                  <c:v>Total</c:v>
                </c:pt>
              </c:strCache>
            </c:strRef>
          </c:cat>
          <c:val>
            <c:numRef>
              <c:f>Conso_tot_EAU!$B$22</c:f>
              <c:numCache>
                <c:formatCode>#\ ##0" m³"</c:formatCode>
                <c:ptCount val="1"/>
              </c:numCache>
            </c:numRef>
          </c:val>
          <c:extLst>
            <c:ext xmlns:c16="http://schemas.microsoft.com/office/drawing/2014/chart" uri="{C3380CC4-5D6E-409C-BE32-E72D297353CC}">
              <c16:uniqueId val="{00000000-C984-46F5-B859-FDB89012485F}"/>
            </c:ext>
          </c:extLst>
        </c:ser>
        <c:dLbls>
          <c:dLblPos val="outEnd"/>
          <c:showLegendKey val="0"/>
          <c:showVal val="1"/>
          <c:showCatName val="0"/>
          <c:showSerName val="0"/>
          <c:showPercent val="0"/>
          <c:showBubbleSize val="0"/>
        </c:dLbls>
        <c:gapWidth val="355"/>
        <c:overlap val="-70"/>
        <c:axId val="560060144"/>
        <c:axId val="560083024"/>
      </c:barChart>
      <c:catAx>
        <c:axId val="560060144"/>
        <c:scaling>
          <c:orientation val="minMax"/>
        </c:scaling>
        <c:delete val="1"/>
        <c:axPos val="b"/>
        <c:numFmt formatCode="General" sourceLinked="1"/>
        <c:majorTickMark val="out"/>
        <c:minorTickMark val="none"/>
        <c:tickLblPos val="nextTo"/>
        <c:crossAx val="560083024"/>
        <c:crosses val="autoZero"/>
        <c:auto val="1"/>
        <c:lblAlgn val="ctr"/>
        <c:lblOffset val="100"/>
        <c:noMultiLvlLbl val="0"/>
      </c:catAx>
      <c:valAx>
        <c:axId val="560083024"/>
        <c:scaling>
          <c:orientation val="minMax"/>
        </c:scaling>
        <c:delete val="1"/>
        <c:axPos val="l"/>
        <c:numFmt formatCode="#\ ##0&quot; m³&quot;" sourceLinked="1"/>
        <c:majorTickMark val="none"/>
        <c:minorTickMark val="none"/>
        <c:tickLblPos val="nextTo"/>
        <c:crossAx val="560060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Adrianor.xlsx]Conso_tot_EAU!Tab_histo_conso_postes_EAU(10)</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COÛT</a:t>
            </a:r>
            <a:r>
              <a:rPr lang="en-US" sz="1400" b="0" baseline="0"/>
              <a:t> DE LA CONSOMMATION EN EAU PAR ANNÉE </a:t>
            </a:r>
            <a:r>
              <a:rPr lang="en-US" sz="1400" b="0" baseline="30000"/>
              <a:t>(10)</a:t>
            </a:r>
            <a:endParaRPr lang="en-US"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Conso_tot_EAU!$B$25:$B$26</c:f>
              <c:strCache>
                <c:ptCount val="1"/>
                <c:pt idx="0">
                  <c:v>2022</c:v>
                </c:pt>
              </c:strCache>
            </c:strRef>
          </c:tx>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Conso_tot_EAU!$A$27</c:f>
              <c:strCache>
                <c:ptCount val="1"/>
                <c:pt idx="0">
                  <c:v>Total</c:v>
                </c:pt>
              </c:strCache>
            </c:strRef>
          </c:cat>
          <c:val>
            <c:numRef>
              <c:f>Conso_tot_EAU!$B$27</c:f>
              <c:numCache>
                <c:formatCode>#\ ##0\ "€"</c:formatCode>
                <c:ptCount val="1"/>
                <c:pt idx="0">
                  <c:v>0</c:v>
                </c:pt>
              </c:numCache>
            </c:numRef>
          </c:val>
          <c:extLst>
            <c:ext xmlns:c16="http://schemas.microsoft.com/office/drawing/2014/chart" uri="{C3380CC4-5D6E-409C-BE32-E72D297353CC}">
              <c16:uniqueId val="{00000000-3E43-4324-8C71-B23DD31C2C88}"/>
            </c:ext>
          </c:extLst>
        </c:ser>
        <c:dLbls>
          <c:dLblPos val="outEnd"/>
          <c:showLegendKey val="0"/>
          <c:showVal val="1"/>
          <c:showCatName val="0"/>
          <c:showSerName val="0"/>
          <c:showPercent val="0"/>
          <c:showBubbleSize val="0"/>
        </c:dLbls>
        <c:gapWidth val="355"/>
        <c:overlap val="-70"/>
        <c:axId val="254376304"/>
        <c:axId val="254370896"/>
      </c:barChart>
      <c:catAx>
        <c:axId val="254376304"/>
        <c:scaling>
          <c:orientation val="minMax"/>
        </c:scaling>
        <c:delete val="1"/>
        <c:axPos val="b"/>
        <c:numFmt formatCode="General" sourceLinked="1"/>
        <c:majorTickMark val="none"/>
        <c:minorTickMark val="none"/>
        <c:tickLblPos val="nextTo"/>
        <c:crossAx val="254370896"/>
        <c:crosses val="autoZero"/>
        <c:auto val="1"/>
        <c:lblAlgn val="ctr"/>
        <c:lblOffset val="100"/>
        <c:noMultiLvlLbl val="0"/>
      </c:catAx>
      <c:valAx>
        <c:axId val="254370896"/>
        <c:scaling>
          <c:orientation val="minMax"/>
        </c:scaling>
        <c:delete val="1"/>
        <c:axPos val="l"/>
        <c:numFmt formatCode="#\ ##0\ &quot;€&quot;" sourceLinked="1"/>
        <c:majorTickMark val="none"/>
        <c:minorTickMark val="none"/>
        <c:tickLblPos val="nextTo"/>
        <c:crossAx val="25437630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Adrianor.xlsx]Conso_postes_EAU!Tab_histo_conso_postes_EAU(11)</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fr-FR" sz="1400" b="0"/>
              <a:t>CONSOMMATION</a:t>
            </a:r>
            <a:r>
              <a:rPr lang="fr-FR" sz="1400" b="0" baseline="0"/>
              <a:t> D'eau des diffÉrents postes par annÉe </a:t>
            </a:r>
            <a:r>
              <a:rPr lang="fr-FR" sz="1400" b="0" baseline="30000"/>
              <a:t>(11)</a:t>
            </a:r>
            <a:endParaRPr lang="fr-FR"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560075952"/>
        <c:axId val="560065136"/>
      </c:barChart>
      <c:catAx>
        <c:axId val="56007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60065136"/>
        <c:crosses val="autoZero"/>
        <c:auto val="1"/>
        <c:lblAlgn val="ctr"/>
        <c:lblOffset val="100"/>
        <c:noMultiLvlLbl val="0"/>
      </c:catAx>
      <c:valAx>
        <c:axId val="560065136"/>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fr-FR" sz="1100"/>
                  <a:t>CONSOMMATION</a:t>
                </a:r>
                <a:r>
                  <a:rPr lang="fr-FR" sz="1100" baseline="0"/>
                  <a:t> D'eau EN M</a:t>
                </a:r>
                <a:r>
                  <a:rPr lang="fr-FR" sz="1100" b="0" i="0" u="none" strike="noStrike" cap="all" baseline="0">
                    <a:effectLst/>
                  </a:rPr>
                  <a:t>³</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60075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2"/>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Adrianor.xlsx]Cout_conso_postes_EAU!Tab_histo_cout_conso_postes_EAU(12)</c:name>
    <c:fmtId val="2"/>
  </c:pivotSource>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FR" sz="1400" b="0"/>
              <a:t>cOÛT</a:t>
            </a:r>
            <a:r>
              <a:rPr lang="fr-FR" sz="1400" b="0" baseline="0"/>
              <a:t> DE LA CONSOMMATION D'eau des diffÉrents postes </a:t>
            </a:r>
            <a:r>
              <a:rPr lang="fr-FR" sz="1400" b="0" baseline="30000"/>
              <a:t>(12)</a:t>
            </a:r>
            <a:endParaRPr lang="fr-FR" sz="14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5"/>
              </a:gs>
              <a:gs pos="75000">
                <a:schemeClr val="accent5">
                  <a:lumMod val="60000"/>
                  <a:lumOff val="40000"/>
                </a:schemeClr>
              </a:gs>
              <a:gs pos="51000">
                <a:schemeClr val="accent5">
                  <a:alpha val="75000"/>
                </a:schemeClr>
              </a:gs>
              <a:gs pos="100000">
                <a:schemeClr val="accent5">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chemeClr val="accent6"/>
              </a:gs>
              <a:gs pos="75000">
                <a:schemeClr val="accent6">
                  <a:lumMod val="60000"/>
                  <a:lumOff val="40000"/>
                </a:schemeClr>
              </a:gs>
              <a:gs pos="51000">
                <a:schemeClr val="accent6">
                  <a:alpha val="75000"/>
                </a:schemeClr>
              </a:gs>
              <a:gs pos="100000">
                <a:schemeClr val="accent6">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426551264"/>
        <c:axId val="426539616"/>
      </c:barChart>
      <c:catAx>
        <c:axId val="426551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26539616"/>
        <c:crosses val="autoZero"/>
        <c:auto val="1"/>
        <c:lblAlgn val="ctr"/>
        <c:lblOffset val="100"/>
        <c:noMultiLvlLbl val="0"/>
      </c:catAx>
      <c:valAx>
        <c:axId val="426539616"/>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fr-FR" sz="1100"/>
                  <a:t>COût</a:t>
                </a:r>
                <a:r>
                  <a:rPr lang="fr-FR" sz="1100" baseline="0"/>
                  <a:t> de la </a:t>
                </a:r>
                <a:r>
                  <a:rPr lang="fr-FR" sz="1100"/>
                  <a:t>consommation</a:t>
                </a:r>
                <a:r>
                  <a:rPr lang="fr-FR" sz="1100" baseline="0"/>
                  <a:t> d'EAU en €</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26551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bg2"/>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Adrianor.xlsx]Conso_tot_ELEC!Tab_histo_Conso_Tot_ELEC(2)</c:name>
    <c:fmtId val="3"/>
  </c:pivotSource>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fr-FR" sz="1400" b="0"/>
              <a:t>cONSOMMATION</a:t>
            </a:r>
            <a:r>
              <a:rPr lang="fr-FR" sz="1400" b="0" baseline="0"/>
              <a:t> TOTALE D'ÉlectricitÉ </a:t>
            </a:r>
          </a:p>
          <a:p>
            <a:pPr>
              <a:defRPr sz="1400"/>
            </a:pPr>
            <a:r>
              <a:rPr lang="fr-FR" sz="1400" b="0" baseline="0"/>
              <a:t>par annÉe </a:t>
            </a:r>
            <a:r>
              <a:rPr lang="fr-FR" sz="1400" b="0" baseline="30000"/>
              <a:t>(2)</a:t>
            </a:r>
            <a:endParaRPr lang="fr-FR" sz="1400" b="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circle"/>
          <c:size val="6"/>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circle"/>
          <c:size val="6"/>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w="9525" cap="flat" cmpd="sng" algn="ctr">
              <a:solidFill>
                <a:schemeClr val="accent4">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Conso_tot_ELEC!$B$20:$B$21</c:f>
              <c:strCache>
                <c:ptCount val="1"/>
                <c:pt idx="0">
                  <c:v>2022</c:v>
                </c:pt>
              </c:strCache>
            </c:strRef>
          </c:tx>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Conso_tot_ELEC!$A$22</c:f>
              <c:strCache>
                <c:ptCount val="1"/>
                <c:pt idx="0">
                  <c:v>Total</c:v>
                </c:pt>
              </c:strCache>
            </c:strRef>
          </c:cat>
          <c:val>
            <c:numRef>
              <c:f>Conso_tot_ELEC!$B$22</c:f>
              <c:numCache>
                <c:formatCode>#\ ##0" kw"</c:formatCode>
                <c:ptCount val="1"/>
              </c:numCache>
            </c:numRef>
          </c:val>
          <c:extLst>
            <c:ext xmlns:c16="http://schemas.microsoft.com/office/drawing/2014/chart" uri="{C3380CC4-5D6E-409C-BE32-E72D297353CC}">
              <c16:uniqueId val="{00000000-BC70-48DB-BBD6-FB66F9A4443B}"/>
            </c:ext>
          </c:extLst>
        </c:ser>
        <c:dLbls>
          <c:dLblPos val="outEnd"/>
          <c:showLegendKey val="0"/>
          <c:showVal val="1"/>
          <c:showCatName val="0"/>
          <c:showSerName val="0"/>
          <c:showPercent val="0"/>
          <c:showBubbleSize val="0"/>
        </c:dLbls>
        <c:gapWidth val="355"/>
        <c:overlap val="-70"/>
        <c:axId val="1055017616"/>
        <c:axId val="1055018032"/>
      </c:barChart>
      <c:catAx>
        <c:axId val="1055017616"/>
        <c:scaling>
          <c:orientation val="minMax"/>
        </c:scaling>
        <c:delete val="1"/>
        <c:axPos val="b"/>
        <c:numFmt formatCode="General" sourceLinked="1"/>
        <c:majorTickMark val="out"/>
        <c:minorTickMark val="none"/>
        <c:tickLblPos val="nextTo"/>
        <c:crossAx val="1055018032"/>
        <c:crosses val="autoZero"/>
        <c:auto val="1"/>
        <c:lblAlgn val="ctr"/>
        <c:lblOffset val="100"/>
        <c:noMultiLvlLbl val="0"/>
      </c:catAx>
      <c:valAx>
        <c:axId val="1055018032"/>
        <c:scaling>
          <c:orientation val="minMax"/>
        </c:scaling>
        <c:delete val="1"/>
        <c:axPos val="l"/>
        <c:numFmt formatCode="#\ ##0&quot; kw&quot;" sourceLinked="1"/>
        <c:majorTickMark val="none"/>
        <c:minorTickMark val="none"/>
        <c:tickLblPos val="nextTo"/>
        <c:crossAx val="1055017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Adrianor.xlsx]Evo_conso_postes_EAU!Tab_evolution_conso_postes_EAU(13)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ÉVOLUTION DE LA CONSOMMATION D'EAU DES DIFFÉRENTS POSTES DURANT LA PÉRIODE SÉLECTIONNÉE </a:t>
            </a:r>
            <a:r>
              <a:rPr lang="en-US" baseline="30000"/>
              <a:t>(13)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6"/>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6"/>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6"/>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6"/>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6"/>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6"/>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solidFill>
          <a:ln w="28575" cap="rnd">
            <a:solidFill>
              <a:schemeClr val="accent6">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6"/>
          </a:solidFill>
          <a:ln w="28575" cap="rnd">
            <a:solidFill>
              <a:schemeClr val="accent5">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solidFill>
          <a:ln w="28575" cap="rnd">
            <a:solidFill>
              <a:schemeClr val="accent4">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6"/>
          </a:solidFill>
          <a:ln w="28575" cap="rnd">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6"/>
          </a:solidFill>
          <a:ln w="28575" cap="rnd">
            <a:solidFill>
              <a:schemeClr val="accent5">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6"/>
          </a:solidFill>
          <a:ln w="28575" cap="rnd">
            <a:solidFill>
              <a:schemeClr val="accent4">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6"/>
          </a:solidFill>
          <a:ln w="28575" cap="rnd">
            <a:solidFill>
              <a:schemeClr val="accent6">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6"/>
          </a:solidFill>
          <a:ln w="28575"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6"/>
          </a:solidFill>
          <a:ln w="28575" cap="rnd">
            <a:solidFill>
              <a:schemeClr val="accent4">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6"/>
          </a:solidFill>
          <a:ln w="28575" cap="rnd">
            <a:solidFill>
              <a:schemeClr val="accent6">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6"/>
          </a:solidFill>
          <a:ln w="28575" cap="rnd">
            <a:solidFill>
              <a:schemeClr val="accent5">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6"/>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6"/>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6"/>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6"/>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6"/>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6"/>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6"/>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6"/>
          </a:solidFill>
          <a:ln w="28575" cap="rnd">
            <a:solidFill>
              <a:schemeClr val="accent6">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6"/>
          </a:solidFill>
          <a:ln w="28575" cap="rnd">
            <a:solidFill>
              <a:schemeClr val="accent5">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6"/>
          </a:solidFill>
          <a:ln w="28575" cap="rnd">
            <a:solidFill>
              <a:schemeClr val="accent4">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6"/>
          </a:solidFill>
          <a:ln w="28575" cap="rnd">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6"/>
          </a:solidFill>
          <a:ln w="28575" cap="rnd">
            <a:solidFill>
              <a:schemeClr val="accent5">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6"/>
          </a:solidFill>
          <a:ln w="28575" cap="rnd">
            <a:solidFill>
              <a:schemeClr val="accent4">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6"/>
          </a:solidFill>
          <a:ln w="28575" cap="rnd">
            <a:solidFill>
              <a:schemeClr val="accent6">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6"/>
          </a:solidFill>
          <a:ln w="28575"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6"/>
          </a:solidFill>
          <a:ln w="28575" cap="rnd">
            <a:solidFill>
              <a:schemeClr val="accent4">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6"/>
          </a:solidFill>
          <a:ln w="28575" cap="rnd">
            <a:solidFill>
              <a:schemeClr val="accent6">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6"/>
          </a:solidFill>
          <a:ln w="28575" cap="rnd">
            <a:solidFill>
              <a:schemeClr val="accent5">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6"/>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6"/>
          </a:solidFill>
          <a:ln w="28575" cap="rnd">
            <a:solidFill>
              <a:schemeClr val="accent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6"/>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6"/>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6"/>
          </a:solidFill>
          <a:ln w="28575" cap="rnd">
            <a:solidFill>
              <a:schemeClr val="accent5">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6"/>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6"/>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6"/>
          </a:solidFill>
          <a:ln w="28575" cap="rnd">
            <a:solidFill>
              <a:schemeClr val="accent5">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6"/>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6"/>
          </a:solidFill>
          <a:ln w="28575" cap="rnd">
            <a:solidFill>
              <a:schemeClr val="accent6">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6"/>
          </a:solidFill>
          <a:ln w="28575" cap="rnd">
            <a:solidFill>
              <a:schemeClr val="accent5">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6"/>
          </a:solidFill>
          <a:ln w="28575" cap="rnd">
            <a:solidFill>
              <a:schemeClr val="accent4">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6"/>
          </a:solidFill>
          <a:ln w="28575" cap="rnd">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6"/>
          </a:solidFill>
          <a:ln w="28575" cap="rnd">
            <a:solidFill>
              <a:schemeClr val="accent5">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6"/>
          </a:solidFill>
          <a:ln w="28575" cap="rnd">
            <a:solidFill>
              <a:schemeClr val="accent4">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6"/>
          </a:solidFill>
          <a:ln w="28575" cap="rnd">
            <a:solidFill>
              <a:schemeClr val="accent6">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6"/>
          </a:solidFill>
          <a:ln w="28575"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6"/>
          </a:solidFill>
          <a:ln w="28575" cap="rnd">
            <a:solidFill>
              <a:schemeClr val="accent4">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6"/>
          </a:solidFill>
          <a:ln w="28575" cap="rnd">
            <a:solidFill>
              <a:schemeClr val="accent6">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6"/>
          </a:solidFill>
          <a:ln w="28575" cap="rnd">
            <a:solidFill>
              <a:schemeClr val="accent5">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dLbls>
          <c:showLegendKey val="0"/>
          <c:showVal val="0"/>
          <c:showCatName val="0"/>
          <c:showSerName val="0"/>
          <c:showPercent val="0"/>
          <c:showBubbleSize val="0"/>
        </c:dLbls>
        <c:marker val="1"/>
        <c:smooth val="0"/>
        <c:axId val="88699008"/>
        <c:axId val="88702336"/>
      </c:lineChart>
      <c:catAx>
        <c:axId val="8869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88702336"/>
        <c:crosses val="autoZero"/>
        <c:auto val="1"/>
        <c:lblAlgn val="ctr"/>
        <c:lblOffset val="100"/>
        <c:noMultiLvlLbl val="0"/>
      </c:catAx>
      <c:valAx>
        <c:axId val="887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CONSOMMATION D'EAU EN M³</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8869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Adrianor.xlsx]Secteur_conso_postes_EAU!Tab_secteur_conso_postes_EAU(14)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POURCENTAGE DE LA CONSOMMATION D'EAU DES DIFFÉRENTS POSTES </a:t>
            </a:r>
            <a:r>
              <a:rPr lang="en-US" baseline="30000"/>
              <a:t>(14)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19050">
            <a:solidFill>
              <a:schemeClr val="lt1"/>
            </a:solidFill>
          </a:ln>
          <a:effectLst/>
        </c:spPr>
        <c:marker>
          <c:symbol val="none"/>
        </c:marker>
        <c:dLbl>
          <c:idx val="0"/>
          <c:numFmt formatCode="0.0%;\ \-\ 0%;\ &quot;&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3"/>
          </a:solidFill>
          <a:ln w="19050">
            <a:solidFill>
              <a:schemeClr val="lt1"/>
            </a:solidFill>
          </a:ln>
          <a:effectLst/>
        </c:spPr>
      </c:pivotFmt>
      <c:pivotFmt>
        <c:idx val="4"/>
        <c:spPr>
          <a:solidFill>
            <a:schemeClr val="accent4"/>
          </a:solidFill>
          <a:ln w="19050">
            <a:solidFill>
              <a:schemeClr val="lt1"/>
            </a:solidFill>
          </a:ln>
          <a:effectLst/>
        </c:spPr>
      </c:pivotFmt>
      <c:pivotFmt>
        <c:idx val="5"/>
        <c:spPr>
          <a:solidFill>
            <a:schemeClr val="accent5"/>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1">
              <a:lumMod val="60000"/>
            </a:schemeClr>
          </a:solidFill>
          <a:ln w="19050">
            <a:solidFill>
              <a:schemeClr val="lt1"/>
            </a:solidFill>
          </a:ln>
          <a:effectLst/>
        </c:spPr>
      </c:pivotFmt>
      <c:pivotFmt>
        <c:idx val="8"/>
        <c:spPr>
          <a:solidFill>
            <a:schemeClr val="accent2">
              <a:lumMod val="60000"/>
            </a:schemeClr>
          </a:solidFill>
          <a:ln w="19050">
            <a:solidFill>
              <a:schemeClr val="lt1"/>
            </a:solidFill>
          </a:ln>
          <a:effectLst/>
        </c:spPr>
      </c:pivotFmt>
      <c:pivotFmt>
        <c:idx val="9"/>
        <c:spPr>
          <a:solidFill>
            <a:schemeClr val="accent3">
              <a:lumMod val="60000"/>
            </a:schemeClr>
          </a:solidFill>
          <a:ln w="19050">
            <a:solidFill>
              <a:schemeClr val="lt1"/>
            </a:solidFill>
          </a:ln>
          <a:effectLst/>
        </c:spPr>
      </c:pivotFmt>
      <c:pivotFmt>
        <c:idx val="10"/>
        <c:spPr>
          <a:solidFill>
            <a:schemeClr val="accent4">
              <a:lumMod val="60000"/>
            </a:schemeClr>
          </a:solidFill>
          <a:ln w="19050">
            <a:solidFill>
              <a:schemeClr val="lt1"/>
            </a:solidFill>
          </a:ln>
          <a:effectLst/>
        </c:spPr>
      </c:pivotFmt>
      <c:pivotFmt>
        <c:idx val="11"/>
        <c:spPr>
          <a:solidFill>
            <a:schemeClr val="accent5">
              <a:lumMod val="60000"/>
            </a:schemeClr>
          </a:solidFill>
          <a:ln w="19050">
            <a:solidFill>
              <a:schemeClr val="lt1"/>
            </a:solidFill>
          </a:ln>
          <a:effectLst/>
        </c:spPr>
      </c:pivotFmt>
      <c:pivotFmt>
        <c:idx val="12"/>
        <c:spPr>
          <a:solidFill>
            <a:schemeClr val="accent6">
              <a:lumMod val="60000"/>
            </a:schemeClr>
          </a:solidFill>
          <a:ln w="19050">
            <a:solidFill>
              <a:schemeClr val="lt1"/>
            </a:solidFill>
          </a:ln>
          <a:effectLst/>
        </c:spPr>
      </c:pivotFmt>
      <c:pivotFmt>
        <c:idx val="13"/>
        <c:spPr>
          <a:solidFill>
            <a:schemeClr val="accent1">
              <a:lumMod val="80000"/>
              <a:lumOff val="20000"/>
            </a:schemeClr>
          </a:solidFill>
          <a:ln w="19050">
            <a:solidFill>
              <a:schemeClr val="lt1"/>
            </a:solidFill>
          </a:ln>
          <a:effectLst/>
        </c:spPr>
      </c:pivotFmt>
      <c:pivotFmt>
        <c:idx val="14"/>
        <c:spPr>
          <a:solidFill>
            <a:schemeClr val="accent2">
              <a:lumMod val="80000"/>
              <a:lumOff val="20000"/>
            </a:schemeClr>
          </a:solidFill>
          <a:ln w="19050">
            <a:solidFill>
              <a:schemeClr val="lt1"/>
            </a:solidFill>
          </a:ln>
          <a:effectLst/>
        </c:spPr>
      </c:pivotFmt>
      <c:pivotFmt>
        <c:idx val="15"/>
        <c:spPr>
          <a:solidFill>
            <a:schemeClr val="accent3">
              <a:lumMod val="80000"/>
              <a:lumOff val="20000"/>
            </a:schemeClr>
          </a:solidFill>
          <a:ln w="19050">
            <a:solidFill>
              <a:schemeClr val="lt1"/>
            </a:solidFill>
          </a:ln>
          <a:effectLst/>
        </c:spPr>
      </c:pivotFmt>
      <c:pivotFmt>
        <c:idx val="16"/>
        <c:spPr>
          <a:solidFill>
            <a:schemeClr val="accent4">
              <a:lumMod val="80000"/>
              <a:lumOff val="20000"/>
            </a:schemeClr>
          </a:solidFill>
          <a:ln w="19050">
            <a:solidFill>
              <a:schemeClr val="lt1"/>
            </a:solidFill>
          </a:ln>
          <a:effectLst/>
        </c:spPr>
      </c:pivotFmt>
      <c:pivotFmt>
        <c:idx val="17"/>
        <c:spPr>
          <a:solidFill>
            <a:schemeClr val="accent5">
              <a:lumMod val="80000"/>
              <a:lumOff val="20000"/>
            </a:schemeClr>
          </a:solidFill>
          <a:ln w="19050">
            <a:solidFill>
              <a:schemeClr val="lt1"/>
            </a:solidFill>
          </a:ln>
          <a:effectLst/>
        </c:spPr>
      </c:pivotFmt>
      <c:pivotFmt>
        <c:idx val="18"/>
        <c:spPr>
          <a:solidFill>
            <a:schemeClr val="accent6">
              <a:lumMod val="80000"/>
              <a:lumOff val="20000"/>
            </a:schemeClr>
          </a:solidFill>
          <a:ln w="19050">
            <a:solidFill>
              <a:schemeClr val="lt1"/>
            </a:solidFill>
          </a:ln>
          <a:effectLst/>
        </c:spPr>
      </c:pivotFmt>
      <c:pivotFmt>
        <c:idx val="19"/>
        <c:spPr>
          <a:solidFill>
            <a:schemeClr val="accent1">
              <a:lumMod val="80000"/>
            </a:schemeClr>
          </a:solidFill>
          <a:ln w="19050">
            <a:solidFill>
              <a:schemeClr val="lt1"/>
            </a:solidFill>
          </a:ln>
          <a:effectLst/>
        </c:spPr>
      </c:pivotFmt>
      <c:pivotFmt>
        <c:idx val="20"/>
        <c:spPr>
          <a:solidFill>
            <a:schemeClr val="accent2">
              <a:lumMod val="80000"/>
            </a:schemeClr>
          </a:solidFill>
          <a:ln w="19050">
            <a:solidFill>
              <a:schemeClr val="lt1"/>
            </a:solidFill>
          </a:ln>
          <a:effectLst/>
        </c:spPr>
      </c:pivotFmt>
      <c:pivotFmt>
        <c:idx val="21"/>
        <c:spPr>
          <a:solidFill>
            <a:schemeClr val="accent1"/>
          </a:solidFill>
          <a:ln w="19050">
            <a:solidFill>
              <a:schemeClr val="lt1"/>
            </a:solidFill>
          </a:ln>
          <a:effectLst/>
        </c:spPr>
        <c:marker>
          <c:symbol val="none"/>
        </c:marker>
        <c:dLbl>
          <c:idx val="0"/>
          <c:numFmt formatCode="0.0%;\ \-\ 0%;\ &quot;&quot;"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22"/>
        <c:spPr>
          <a:solidFill>
            <a:schemeClr val="accent1"/>
          </a:solidFill>
          <a:ln w="19050">
            <a:solidFill>
              <a:schemeClr val="lt1"/>
            </a:solidFill>
          </a:ln>
          <a:effectLst/>
        </c:spPr>
      </c:pivotFmt>
      <c:pivotFmt>
        <c:idx val="23"/>
        <c:spPr>
          <a:solidFill>
            <a:schemeClr val="accent2"/>
          </a:solidFill>
          <a:ln w="19050">
            <a:solidFill>
              <a:schemeClr val="lt1"/>
            </a:solidFill>
          </a:ln>
          <a:effectLst/>
        </c:spPr>
      </c:pivotFmt>
      <c:pivotFmt>
        <c:idx val="24"/>
        <c:spPr>
          <a:solidFill>
            <a:schemeClr val="accent3"/>
          </a:solidFill>
          <a:ln w="19050">
            <a:solidFill>
              <a:schemeClr val="lt1"/>
            </a:solidFill>
          </a:ln>
          <a:effectLst/>
        </c:spPr>
      </c:pivotFmt>
      <c:pivotFmt>
        <c:idx val="25"/>
        <c:spPr>
          <a:solidFill>
            <a:schemeClr val="accent4"/>
          </a:solidFill>
          <a:ln w="19050">
            <a:solidFill>
              <a:schemeClr val="lt1"/>
            </a:solidFill>
          </a:ln>
          <a:effectLst/>
        </c:spPr>
      </c:pivotFmt>
      <c:pivotFmt>
        <c:idx val="26"/>
        <c:spPr>
          <a:solidFill>
            <a:schemeClr val="accent5"/>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1">
              <a:lumMod val="60000"/>
            </a:schemeClr>
          </a:solidFill>
          <a:ln w="19050">
            <a:solidFill>
              <a:schemeClr val="lt1"/>
            </a:solidFill>
          </a:ln>
          <a:effectLst/>
        </c:spPr>
      </c:pivotFmt>
      <c:pivotFmt>
        <c:idx val="29"/>
        <c:spPr>
          <a:solidFill>
            <a:schemeClr val="accent2">
              <a:lumMod val="60000"/>
            </a:schemeClr>
          </a:solidFill>
          <a:ln w="19050">
            <a:solidFill>
              <a:schemeClr val="lt1"/>
            </a:solidFill>
          </a:ln>
          <a:effectLst/>
        </c:spPr>
      </c:pivotFmt>
      <c:pivotFmt>
        <c:idx val="30"/>
        <c:spPr>
          <a:solidFill>
            <a:schemeClr val="accent3">
              <a:lumMod val="60000"/>
            </a:schemeClr>
          </a:solidFill>
          <a:ln w="19050">
            <a:solidFill>
              <a:schemeClr val="lt1"/>
            </a:solidFill>
          </a:ln>
          <a:effectLst/>
        </c:spPr>
      </c:pivotFmt>
      <c:pivotFmt>
        <c:idx val="31"/>
        <c:spPr>
          <a:solidFill>
            <a:schemeClr val="accent4">
              <a:lumMod val="60000"/>
            </a:schemeClr>
          </a:solidFill>
          <a:ln w="19050">
            <a:solidFill>
              <a:schemeClr val="lt1"/>
            </a:solidFill>
          </a:ln>
          <a:effectLst/>
        </c:spPr>
      </c:pivotFmt>
      <c:pivotFmt>
        <c:idx val="32"/>
        <c:spPr>
          <a:solidFill>
            <a:schemeClr val="accent5">
              <a:lumMod val="60000"/>
            </a:schemeClr>
          </a:solidFill>
          <a:ln w="19050">
            <a:solidFill>
              <a:schemeClr val="lt1"/>
            </a:solidFill>
          </a:ln>
          <a:effectLst/>
        </c:spPr>
      </c:pivotFmt>
      <c:pivotFmt>
        <c:idx val="33"/>
        <c:spPr>
          <a:solidFill>
            <a:schemeClr val="accent6">
              <a:lumMod val="60000"/>
            </a:schemeClr>
          </a:solidFill>
          <a:ln w="19050">
            <a:solidFill>
              <a:schemeClr val="lt1"/>
            </a:solidFill>
          </a:ln>
          <a:effectLst/>
        </c:spPr>
      </c:pivotFmt>
      <c:pivotFmt>
        <c:idx val="34"/>
        <c:spPr>
          <a:solidFill>
            <a:schemeClr val="accent1">
              <a:lumMod val="80000"/>
              <a:lumOff val="20000"/>
            </a:schemeClr>
          </a:solidFill>
          <a:ln w="19050">
            <a:solidFill>
              <a:schemeClr val="lt1"/>
            </a:solidFill>
          </a:ln>
          <a:effectLst/>
        </c:spPr>
      </c:pivotFmt>
      <c:pivotFmt>
        <c:idx val="35"/>
        <c:spPr>
          <a:solidFill>
            <a:schemeClr val="accent2">
              <a:lumMod val="80000"/>
              <a:lumOff val="20000"/>
            </a:schemeClr>
          </a:solidFill>
          <a:ln w="19050">
            <a:solidFill>
              <a:schemeClr val="lt1"/>
            </a:solidFill>
          </a:ln>
          <a:effectLst/>
        </c:spPr>
      </c:pivotFmt>
      <c:pivotFmt>
        <c:idx val="36"/>
        <c:spPr>
          <a:solidFill>
            <a:schemeClr val="accent3">
              <a:lumMod val="80000"/>
              <a:lumOff val="20000"/>
            </a:schemeClr>
          </a:solidFill>
          <a:ln w="19050">
            <a:solidFill>
              <a:schemeClr val="lt1"/>
            </a:solidFill>
          </a:ln>
          <a:effectLst/>
        </c:spPr>
      </c:pivotFmt>
      <c:pivotFmt>
        <c:idx val="37"/>
        <c:spPr>
          <a:solidFill>
            <a:schemeClr val="accent4">
              <a:lumMod val="80000"/>
              <a:lumOff val="20000"/>
            </a:schemeClr>
          </a:solidFill>
          <a:ln w="19050">
            <a:solidFill>
              <a:schemeClr val="lt1"/>
            </a:solidFill>
          </a:ln>
          <a:effectLst/>
        </c:spPr>
      </c:pivotFmt>
      <c:pivotFmt>
        <c:idx val="38"/>
        <c:spPr>
          <a:solidFill>
            <a:schemeClr val="accent5">
              <a:lumMod val="80000"/>
              <a:lumOff val="20000"/>
            </a:schemeClr>
          </a:solidFill>
          <a:ln w="19050">
            <a:solidFill>
              <a:schemeClr val="lt1"/>
            </a:solidFill>
          </a:ln>
          <a:effectLst/>
        </c:spPr>
      </c:pivotFmt>
      <c:pivotFmt>
        <c:idx val="39"/>
        <c:spPr>
          <a:solidFill>
            <a:schemeClr val="accent6">
              <a:lumMod val="80000"/>
              <a:lumOff val="20000"/>
            </a:schemeClr>
          </a:solidFill>
          <a:ln w="19050">
            <a:solidFill>
              <a:schemeClr val="lt1"/>
            </a:solidFill>
          </a:ln>
          <a:effectLst/>
        </c:spPr>
      </c:pivotFmt>
      <c:pivotFmt>
        <c:idx val="40"/>
        <c:spPr>
          <a:solidFill>
            <a:schemeClr val="accent1">
              <a:lumMod val="80000"/>
            </a:schemeClr>
          </a:solidFill>
          <a:ln w="19050">
            <a:solidFill>
              <a:schemeClr val="lt1"/>
            </a:solidFill>
          </a:ln>
          <a:effectLst/>
        </c:spPr>
      </c:pivotFmt>
      <c:pivotFmt>
        <c:idx val="41"/>
        <c:spPr>
          <a:solidFill>
            <a:schemeClr val="accent2">
              <a:lumMod val="80000"/>
            </a:schemeClr>
          </a:solidFill>
          <a:ln w="19050">
            <a:solidFill>
              <a:schemeClr val="lt1"/>
            </a:solidFill>
          </a:ln>
          <a:effectLst/>
        </c:spPr>
      </c:pivotFmt>
      <c:pivotFmt>
        <c:idx val="42"/>
        <c:spPr>
          <a:solidFill>
            <a:schemeClr val="accent1"/>
          </a:solidFill>
          <a:ln w="19050">
            <a:solidFill>
              <a:schemeClr val="lt1"/>
            </a:solidFill>
          </a:ln>
          <a:effectLst/>
        </c:spPr>
        <c:marker>
          <c:symbol val="none"/>
        </c:marker>
        <c:dLbl>
          <c:idx val="0"/>
          <c:numFmt formatCode="0.0%;\ \-\ 0%;\ &quot;&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43"/>
        <c:spPr>
          <a:solidFill>
            <a:schemeClr val="accent1"/>
          </a:solidFill>
          <a:ln w="19050">
            <a:solidFill>
              <a:schemeClr val="lt1"/>
            </a:solidFill>
          </a:ln>
          <a:effectLst/>
        </c:spPr>
      </c:pivotFmt>
      <c:pivotFmt>
        <c:idx val="44"/>
        <c:spPr>
          <a:solidFill>
            <a:schemeClr val="accent2"/>
          </a:solidFill>
          <a:ln w="19050">
            <a:solidFill>
              <a:schemeClr val="lt1"/>
            </a:solidFill>
          </a:ln>
          <a:effectLst/>
        </c:spPr>
      </c:pivotFmt>
      <c:pivotFmt>
        <c:idx val="45"/>
        <c:spPr>
          <a:solidFill>
            <a:schemeClr val="accent3"/>
          </a:solidFill>
          <a:ln w="19050">
            <a:solidFill>
              <a:schemeClr val="lt1"/>
            </a:solidFill>
          </a:ln>
          <a:effectLst/>
        </c:spPr>
      </c:pivotFmt>
      <c:pivotFmt>
        <c:idx val="46"/>
        <c:spPr>
          <a:solidFill>
            <a:schemeClr val="accent4"/>
          </a:solidFill>
          <a:ln w="19050">
            <a:solidFill>
              <a:schemeClr val="lt1"/>
            </a:solidFill>
          </a:ln>
          <a:effectLst/>
        </c:spPr>
      </c:pivotFmt>
      <c:pivotFmt>
        <c:idx val="47"/>
        <c:spPr>
          <a:solidFill>
            <a:schemeClr val="accent5"/>
          </a:solidFill>
          <a:ln w="19050">
            <a:solidFill>
              <a:schemeClr val="lt1"/>
            </a:solidFill>
          </a:ln>
          <a:effectLst/>
        </c:spPr>
      </c:pivotFmt>
      <c:pivotFmt>
        <c:idx val="48"/>
        <c:spPr>
          <a:solidFill>
            <a:schemeClr val="accent6"/>
          </a:solidFill>
          <a:ln w="19050">
            <a:solidFill>
              <a:schemeClr val="lt1"/>
            </a:solidFill>
          </a:ln>
          <a:effectLst/>
        </c:spPr>
      </c:pivotFmt>
      <c:pivotFmt>
        <c:idx val="49"/>
        <c:spPr>
          <a:solidFill>
            <a:schemeClr val="accent1">
              <a:lumMod val="60000"/>
            </a:schemeClr>
          </a:solidFill>
          <a:ln w="19050">
            <a:solidFill>
              <a:schemeClr val="lt1"/>
            </a:solidFill>
          </a:ln>
          <a:effectLst/>
        </c:spPr>
      </c:pivotFmt>
      <c:pivotFmt>
        <c:idx val="50"/>
        <c:spPr>
          <a:solidFill>
            <a:schemeClr val="accent2">
              <a:lumMod val="60000"/>
            </a:schemeClr>
          </a:solidFill>
          <a:ln w="19050">
            <a:solidFill>
              <a:schemeClr val="lt1"/>
            </a:solidFill>
          </a:ln>
          <a:effectLst/>
        </c:spPr>
      </c:pivotFmt>
      <c:pivotFmt>
        <c:idx val="51"/>
        <c:spPr>
          <a:solidFill>
            <a:schemeClr val="accent3">
              <a:lumMod val="60000"/>
            </a:schemeClr>
          </a:solidFill>
          <a:ln w="19050">
            <a:solidFill>
              <a:schemeClr val="lt1"/>
            </a:solidFill>
          </a:ln>
          <a:effectLst/>
        </c:spPr>
      </c:pivotFmt>
      <c:pivotFmt>
        <c:idx val="52"/>
        <c:spPr>
          <a:solidFill>
            <a:schemeClr val="accent4">
              <a:lumMod val="60000"/>
            </a:schemeClr>
          </a:solidFill>
          <a:ln w="19050">
            <a:solidFill>
              <a:schemeClr val="lt1"/>
            </a:solidFill>
          </a:ln>
          <a:effectLst/>
        </c:spPr>
      </c:pivotFmt>
      <c:pivotFmt>
        <c:idx val="53"/>
        <c:spPr>
          <a:solidFill>
            <a:schemeClr val="accent5">
              <a:lumMod val="60000"/>
            </a:schemeClr>
          </a:solidFill>
          <a:ln w="19050">
            <a:solidFill>
              <a:schemeClr val="lt1"/>
            </a:solidFill>
          </a:ln>
          <a:effectLst/>
        </c:spPr>
      </c:pivotFmt>
      <c:pivotFmt>
        <c:idx val="54"/>
        <c:spPr>
          <a:solidFill>
            <a:schemeClr val="accent6">
              <a:lumMod val="60000"/>
            </a:schemeClr>
          </a:solidFill>
          <a:ln w="19050">
            <a:solidFill>
              <a:schemeClr val="lt1"/>
            </a:solidFill>
          </a:ln>
          <a:effectLst/>
        </c:spPr>
      </c:pivotFmt>
      <c:pivotFmt>
        <c:idx val="55"/>
        <c:spPr>
          <a:solidFill>
            <a:schemeClr val="accent1">
              <a:lumMod val="80000"/>
              <a:lumOff val="20000"/>
            </a:schemeClr>
          </a:solidFill>
          <a:ln w="19050">
            <a:solidFill>
              <a:schemeClr val="lt1"/>
            </a:solidFill>
          </a:ln>
          <a:effectLst/>
        </c:spPr>
      </c:pivotFmt>
      <c:pivotFmt>
        <c:idx val="56"/>
        <c:spPr>
          <a:solidFill>
            <a:schemeClr val="accent2">
              <a:lumMod val="80000"/>
              <a:lumOff val="20000"/>
            </a:schemeClr>
          </a:solidFill>
          <a:ln w="19050">
            <a:solidFill>
              <a:schemeClr val="lt1"/>
            </a:solidFill>
          </a:ln>
          <a:effectLst/>
        </c:spPr>
      </c:pivotFmt>
      <c:pivotFmt>
        <c:idx val="57"/>
        <c:spPr>
          <a:solidFill>
            <a:schemeClr val="accent3">
              <a:lumMod val="80000"/>
              <a:lumOff val="20000"/>
            </a:schemeClr>
          </a:solidFill>
          <a:ln w="19050">
            <a:solidFill>
              <a:schemeClr val="lt1"/>
            </a:solidFill>
          </a:ln>
          <a:effectLst/>
        </c:spPr>
      </c:pivotFmt>
      <c:pivotFmt>
        <c:idx val="58"/>
        <c:spPr>
          <a:solidFill>
            <a:schemeClr val="accent4">
              <a:lumMod val="80000"/>
              <a:lumOff val="20000"/>
            </a:schemeClr>
          </a:solidFill>
          <a:ln w="19050">
            <a:solidFill>
              <a:schemeClr val="lt1"/>
            </a:solidFill>
          </a:ln>
          <a:effectLst/>
        </c:spPr>
      </c:pivotFmt>
      <c:pivotFmt>
        <c:idx val="59"/>
        <c:spPr>
          <a:solidFill>
            <a:schemeClr val="accent5">
              <a:lumMod val="80000"/>
              <a:lumOff val="20000"/>
            </a:schemeClr>
          </a:solidFill>
          <a:ln w="19050">
            <a:solidFill>
              <a:schemeClr val="lt1"/>
            </a:solidFill>
          </a:ln>
          <a:effectLst/>
        </c:spPr>
      </c:pivotFmt>
      <c:pivotFmt>
        <c:idx val="60"/>
        <c:spPr>
          <a:solidFill>
            <a:schemeClr val="accent6">
              <a:lumMod val="80000"/>
              <a:lumOff val="20000"/>
            </a:schemeClr>
          </a:solidFill>
          <a:ln w="19050">
            <a:solidFill>
              <a:schemeClr val="lt1"/>
            </a:solidFill>
          </a:ln>
          <a:effectLst/>
        </c:spPr>
      </c:pivotFmt>
      <c:pivotFmt>
        <c:idx val="61"/>
        <c:spPr>
          <a:solidFill>
            <a:schemeClr val="accent1">
              <a:lumMod val="80000"/>
            </a:schemeClr>
          </a:solidFill>
          <a:ln w="19050">
            <a:solidFill>
              <a:schemeClr val="lt1"/>
            </a:solidFill>
          </a:ln>
          <a:effectLst/>
        </c:spPr>
      </c:pivotFmt>
      <c:pivotFmt>
        <c:idx val="62"/>
        <c:spPr>
          <a:solidFill>
            <a:schemeClr val="accent2">
              <a:lumMod val="80000"/>
            </a:schemeClr>
          </a:solidFill>
          <a:ln w="19050">
            <a:solidFill>
              <a:schemeClr val="lt1"/>
            </a:solidFill>
          </a:ln>
          <a:effectLst/>
        </c:spPr>
      </c:pivotFmt>
    </c:pivotFmts>
    <c:plotArea>
      <c:layout/>
      <c:pieChart>
        <c:varyColors val="1"/>
        <c:dLbls>
          <c:dLblPos val="outEnd"/>
          <c:showLegendKey val="0"/>
          <c:showVal val="1"/>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Adrianor.xlsx]Conso_tot_ELEC!Tab_histo_Cout_Conso_Tot_ELEC(3)</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en-US" sz="1400" b="0"/>
              <a:t>COût</a:t>
            </a:r>
            <a:r>
              <a:rPr lang="en-US" sz="1400" b="0" baseline="0"/>
              <a:t> DE LA CONSOMMATION dE  d'ÉLECTRICITÉ </a:t>
            </a:r>
          </a:p>
          <a:p>
            <a:pPr>
              <a:defRPr sz="1400" b="0"/>
            </a:pPr>
            <a:r>
              <a:rPr lang="en-US" sz="1400" b="0" baseline="0"/>
              <a:t>par annÉe </a:t>
            </a:r>
            <a:r>
              <a:rPr lang="en-US" sz="1400" b="0" baseline="30000"/>
              <a:t>(3)</a:t>
            </a:r>
            <a:endParaRPr lang="en-US" sz="1400" b="0"/>
          </a:p>
        </c:rich>
      </c:tx>
      <c:layout>
        <c:manualLayout>
          <c:xMode val="edge"/>
          <c:yMode val="edge"/>
          <c:x val="0.1173281213071115"/>
          <c:y val="2.2652389554633164E-2"/>
        </c:manualLayout>
      </c:layout>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Conso_tot_ELEC!$B$25:$B$26</c:f>
              <c:strCache>
                <c:ptCount val="1"/>
                <c:pt idx="0">
                  <c:v>2022</c:v>
                </c:pt>
              </c:strCache>
            </c:strRef>
          </c:tx>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Conso_tot_ELEC!$A$27</c:f>
              <c:strCache>
                <c:ptCount val="1"/>
                <c:pt idx="0">
                  <c:v>Total</c:v>
                </c:pt>
              </c:strCache>
            </c:strRef>
          </c:cat>
          <c:val>
            <c:numRef>
              <c:f>Conso_tot_ELEC!$B$27</c:f>
              <c:numCache>
                <c:formatCode>#\ ##0\ "€"</c:formatCode>
                <c:ptCount val="1"/>
                <c:pt idx="0">
                  <c:v>0</c:v>
                </c:pt>
              </c:numCache>
            </c:numRef>
          </c:val>
          <c:extLst>
            <c:ext xmlns:c16="http://schemas.microsoft.com/office/drawing/2014/chart" uri="{C3380CC4-5D6E-409C-BE32-E72D297353CC}">
              <c16:uniqueId val="{00000000-37B9-4851-9C74-6BF939445434}"/>
            </c:ext>
          </c:extLst>
        </c:ser>
        <c:dLbls>
          <c:dLblPos val="outEnd"/>
          <c:showLegendKey val="0"/>
          <c:showVal val="1"/>
          <c:showCatName val="0"/>
          <c:showSerName val="0"/>
          <c:showPercent val="0"/>
          <c:showBubbleSize val="0"/>
        </c:dLbls>
        <c:gapWidth val="355"/>
        <c:overlap val="-70"/>
        <c:axId val="1175824384"/>
        <c:axId val="1175825216"/>
      </c:barChart>
      <c:catAx>
        <c:axId val="1175824384"/>
        <c:scaling>
          <c:orientation val="minMax"/>
        </c:scaling>
        <c:delete val="1"/>
        <c:axPos val="b"/>
        <c:numFmt formatCode="General" sourceLinked="1"/>
        <c:majorTickMark val="out"/>
        <c:minorTickMark val="none"/>
        <c:tickLblPos val="nextTo"/>
        <c:crossAx val="1175825216"/>
        <c:crosses val="autoZero"/>
        <c:auto val="1"/>
        <c:lblAlgn val="ctr"/>
        <c:lblOffset val="100"/>
        <c:noMultiLvlLbl val="0"/>
      </c:catAx>
      <c:valAx>
        <c:axId val="1175825216"/>
        <c:scaling>
          <c:orientation val="minMax"/>
        </c:scaling>
        <c:delete val="1"/>
        <c:axPos val="l"/>
        <c:numFmt formatCode="#\ ##0\ &quot;€&quot;" sourceLinked="1"/>
        <c:majorTickMark val="none"/>
        <c:minorTickMark val="none"/>
        <c:tickLblPos val="nextTo"/>
        <c:crossAx val="117582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Adrianor.xlsx]Conso_Postes_ELEC!Tab_histo_conso_postes_ELEC(4)</c:name>
    <c:fmtId val="4"/>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fr-FR" sz="1400" b="0"/>
              <a:t>Consommation d'ÉlectricitÉ</a:t>
            </a:r>
            <a:r>
              <a:rPr lang="fr-FR" sz="1400" b="0" baseline="0"/>
              <a:t> des diffÉrents postes par annÉe </a:t>
            </a:r>
            <a:r>
              <a:rPr lang="fr-FR" sz="1400" b="0" baseline="30000"/>
              <a:t>(4)</a:t>
            </a:r>
            <a:endParaRPr lang="fr-FR"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1213731968"/>
        <c:axId val="1213719488"/>
      </c:barChart>
      <c:catAx>
        <c:axId val="121373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213719488"/>
        <c:crosses val="autoZero"/>
        <c:auto val="1"/>
        <c:lblAlgn val="ctr"/>
        <c:lblOffset val="100"/>
        <c:noMultiLvlLbl val="0"/>
      </c:catAx>
      <c:valAx>
        <c:axId val="121371948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fr-FR" sz="1100"/>
                  <a:t>Consommation</a:t>
                </a:r>
                <a:r>
                  <a:rPr lang="fr-FR" sz="1100" baseline="0"/>
                  <a:t> d'ÉlectricitÉ en kw</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21373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Adrianor.xlsx]Coût_Conso_Postes_ELEC!Tab_histo_cout_conso_postes_ELEC(5)</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fr-FR" sz="1400" b="0"/>
              <a:t>COÛT</a:t>
            </a:r>
            <a:r>
              <a:rPr lang="fr-FR" sz="1400" b="0" baseline="0"/>
              <a:t> de la consommation d'Électricité des diffÉrents postes par annÉe </a:t>
            </a:r>
            <a:r>
              <a:rPr lang="fr-FR" sz="1400" b="0" baseline="30000"/>
              <a:t>(5)</a:t>
            </a:r>
            <a:endParaRPr lang="fr-FR"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dLbls>
          <c:showLegendKey val="0"/>
          <c:showVal val="0"/>
          <c:showCatName val="0"/>
          <c:showSerName val="0"/>
          <c:showPercent val="0"/>
          <c:showBubbleSize val="0"/>
        </c:dLbls>
        <c:gapWidth val="355"/>
        <c:overlap val="-70"/>
        <c:axId val="1055019696"/>
        <c:axId val="1055017200"/>
      </c:barChart>
      <c:catAx>
        <c:axId val="105501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055017200"/>
        <c:crosses val="autoZero"/>
        <c:auto val="1"/>
        <c:lblAlgn val="ctr"/>
        <c:lblOffset val="100"/>
        <c:noMultiLvlLbl val="0"/>
      </c:catAx>
      <c:valAx>
        <c:axId val="1055017200"/>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r>
                  <a:rPr lang="en-US" sz="1100"/>
                  <a:t>cout de la consommation d'ÉlectricitÉ en €</a:t>
                </a:r>
              </a:p>
            </c:rich>
          </c:tx>
          <c:overlay val="0"/>
          <c:spPr>
            <a:noFill/>
            <a:ln>
              <a:noFill/>
            </a:ln>
            <a:effectLst/>
          </c:spPr>
          <c:txPr>
            <a:bodyPr rot="-5400000" spcFirstLastPara="1" vertOverflow="ellipsis" vert="horz" wrap="square" anchor="ctr" anchorCtr="1"/>
            <a:lstStyle/>
            <a:p>
              <a:pPr>
                <a:defRPr sz="11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05501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Adrianor.xlsx]Evo_Conso_Postes_ELEC!Tab_Evolution_Conso_Postes_ELEC(6)</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a:t>
            </a:r>
            <a:r>
              <a:rPr lang="fr-FR" baseline="0"/>
              <a:t> DE LA CONSOMMATION D'ÉLECTRICITÉ DES DIFFÉRENTS POSTES DURANT LA PÉRIODE SÉLECTIONNÉE </a:t>
            </a:r>
            <a:r>
              <a:rPr lang="fr-FR" baseline="30000"/>
              <a:t>(6)</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2"/>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2"/>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2"/>
          </a:solidFill>
          <a:ln w="28575" cap="rnd">
            <a:solidFill>
              <a:schemeClr val="accent2">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2"/>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2"/>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2"/>
          </a:solidFill>
          <a:ln w="28575" cap="rnd">
            <a:solidFill>
              <a:schemeClr val="accent2">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2"/>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2"/>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2"/>
          </a:solidFill>
          <a:ln w="28575" cap="rnd">
            <a:solidFill>
              <a:schemeClr val="accent2">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2"/>
          </a:solidFill>
          <a:ln w="28575" cap="rnd">
            <a:solidFill>
              <a:schemeClr val="accent4">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2"/>
          </a:solidFill>
          <a:ln w="28575" cap="rnd">
            <a:solidFill>
              <a:schemeClr val="accent6">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2"/>
          </a:solidFill>
          <a:ln w="28575" cap="rnd">
            <a:solidFill>
              <a:schemeClr val="accent2">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2"/>
          </a:solidFill>
          <a:ln w="28575" cap="rnd">
            <a:solidFill>
              <a:schemeClr val="accent4">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2"/>
          </a:solidFill>
          <a:ln w="28575" cap="rnd">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2"/>
          </a:solidFill>
          <a:ln w="28575" cap="rnd">
            <a:solidFill>
              <a:schemeClr val="accent2">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2"/>
          </a:solidFill>
          <a:ln w="28575" cap="rnd">
            <a:solidFill>
              <a:schemeClr val="accent4">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2"/>
          </a:solidFill>
          <a:ln w="28575" cap="rnd">
            <a:solidFill>
              <a:schemeClr val="accent6">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2"/>
          </a:solidFill>
          <a:ln w="28575" cap="rnd">
            <a:solidFill>
              <a:schemeClr val="accent2">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2"/>
          </a:solidFill>
          <a:ln w="28575" cap="rnd">
            <a:solidFill>
              <a:schemeClr val="accent4">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2"/>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2"/>
          </a:solidFill>
          <a:ln w="28575" cap="rnd">
            <a:solidFill>
              <a:schemeClr val="accent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2"/>
          </a:solidFill>
          <a:ln w="28575" cap="rnd">
            <a:solidFill>
              <a:schemeClr val="accent6"/>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2"/>
          </a:solidFill>
          <a:ln w="28575" cap="rnd">
            <a:solidFill>
              <a:schemeClr val="accent2">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2"/>
          </a:solidFill>
          <a:ln w="28575" cap="rnd">
            <a:solidFill>
              <a:schemeClr val="accent4">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2"/>
          </a:solidFill>
          <a:ln w="28575" cap="rnd">
            <a:solidFill>
              <a:schemeClr val="accent6">
                <a:lumMod val="6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2"/>
          </a:solidFill>
          <a:ln w="28575" cap="rnd">
            <a:solidFill>
              <a:schemeClr val="accent2">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2"/>
          </a:solidFill>
          <a:ln w="28575" cap="rnd">
            <a:solidFill>
              <a:schemeClr val="accent4">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2"/>
          </a:solidFill>
          <a:ln w="28575" cap="rnd">
            <a:solidFill>
              <a:schemeClr val="accent6">
                <a:lumMod val="80000"/>
                <a:lumOff val="2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2"/>
          </a:solidFill>
          <a:ln w="28575" cap="rnd">
            <a:solidFill>
              <a:schemeClr val="accent2">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2"/>
          </a:solidFill>
          <a:ln w="28575" cap="rnd">
            <a:solidFill>
              <a:schemeClr val="accent4">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2"/>
          </a:solidFill>
          <a:ln w="28575" cap="rnd">
            <a:solidFill>
              <a:schemeClr val="accent6">
                <a:lumMod val="8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2"/>
          </a:solidFill>
          <a:ln w="28575" cap="rnd">
            <a:solidFill>
              <a:schemeClr val="accent2">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2"/>
          </a:solidFill>
          <a:ln w="28575" cap="rnd">
            <a:solidFill>
              <a:schemeClr val="accent4">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2"/>
          </a:solidFill>
          <a:ln w="28575" cap="rnd">
            <a:solidFill>
              <a:schemeClr val="accent6">
                <a:lumMod val="60000"/>
                <a:lumOff val="4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2"/>
          </a:solidFill>
          <a:ln w="28575" cap="rnd">
            <a:solidFill>
              <a:schemeClr val="accent2">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2"/>
          </a:solidFill>
          <a:ln w="28575" cap="rnd">
            <a:solidFill>
              <a:schemeClr val="accent4">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2"/>
          </a:solidFill>
          <a:ln w="28575" cap="rnd">
            <a:solidFill>
              <a:schemeClr val="accent6">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2"/>
          </a:solidFill>
          <a:ln w="28575" cap="rnd">
            <a:solidFill>
              <a:schemeClr val="accent2">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2"/>
          </a:solidFill>
          <a:ln w="28575" cap="rnd">
            <a:solidFill>
              <a:schemeClr val="accent4">
                <a:lumMod val="70000"/>
                <a:lumOff val="3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1"/>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2"/>
        <c:spPr>
          <a:ln w="28575" cap="rnd">
            <a:solidFill>
              <a:schemeClr val="accent2"/>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3"/>
        <c:spPr>
          <a:ln w="28575" cap="rnd">
            <a:solidFill>
              <a:schemeClr val="accent2"/>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4"/>
        <c:spPr>
          <a:ln w="28575" cap="rnd">
            <a:solidFill>
              <a:schemeClr val="accent2"/>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Evo_Conso_Postes_ELEC!$B$3</c:f>
              <c:strCache>
                <c:ptCount val="1"/>
                <c:pt idx="0">
                  <c:v>Somme de Poste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Evo_Conso_Postes_ELEC!$A$4:$A$8</c:f>
              <c:multiLvlStrCache>
                <c:ptCount val="3"/>
                <c:lvl>
                  <c:pt idx="0">
                    <c:v>janvier</c:v>
                  </c:pt>
                  <c:pt idx="1">
                    <c:v>février</c:v>
                  </c:pt>
                  <c:pt idx="2">
                    <c:v>mars</c:v>
                  </c:pt>
                </c:lvl>
                <c:lvl>
                  <c:pt idx="0">
                    <c:v>2022</c:v>
                  </c:pt>
                </c:lvl>
              </c:multiLvlStrCache>
            </c:multiLvlStrRef>
          </c:cat>
          <c:val>
            <c:numRef>
              <c:f>Evo_Conso_Postes_ELEC!$B$4:$B$8</c:f>
              <c:numCache>
                <c:formatCode>General</c:formatCode>
                <c:ptCount val="3"/>
              </c:numCache>
            </c:numRef>
          </c:val>
          <c:smooth val="0"/>
          <c:extLst>
            <c:ext xmlns:c16="http://schemas.microsoft.com/office/drawing/2014/chart" uri="{C3380CC4-5D6E-409C-BE32-E72D297353CC}">
              <c16:uniqueId val="{00000001-6B40-4C3C-BF30-F86EE1C3E309}"/>
            </c:ext>
          </c:extLst>
        </c:ser>
        <c:ser>
          <c:idx val="1"/>
          <c:order val="1"/>
          <c:tx>
            <c:strRef>
              <c:f>Evo_Conso_Postes_ELEC!$C$3</c:f>
              <c:strCache>
                <c:ptCount val="1"/>
                <c:pt idx="0">
                  <c:v>Somme de Poste [2]</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Evo_Conso_Postes_ELEC!$A$4:$A$8</c:f>
              <c:multiLvlStrCache>
                <c:ptCount val="3"/>
                <c:lvl>
                  <c:pt idx="0">
                    <c:v>janvier</c:v>
                  </c:pt>
                  <c:pt idx="1">
                    <c:v>février</c:v>
                  </c:pt>
                  <c:pt idx="2">
                    <c:v>mars</c:v>
                  </c:pt>
                </c:lvl>
                <c:lvl>
                  <c:pt idx="0">
                    <c:v>2022</c:v>
                  </c:pt>
                </c:lvl>
              </c:multiLvlStrCache>
            </c:multiLvlStrRef>
          </c:cat>
          <c:val>
            <c:numRef>
              <c:f>Evo_Conso_Postes_ELEC!$C$4:$C$8</c:f>
              <c:numCache>
                <c:formatCode>General</c:formatCode>
                <c:ptCount val="3"/>
              </c:numCache>
            </c:numRef>
          </c:val>
          <c:smooth val="0"/>
          <c:extLst>
            <c:ext xmlns:c16="http://schemas.microsoft.com/office/drawing/2014/chart" uri="{C3380CC4-5D6E-409C-BE32-E72D297353CC}">
              <c16:uniqueId val="{00000002-6B40-4C3C-BF30-F86EE1C3E309}"/>
            </c:ext>
          </c:extLst>
        </c:ser>
        <c:ser>
          <c:idx val="2"/>
          <c:order val="2"/>
          <c:tx>
            <c:strRef>
              <c:f>Evo_Conso_Postes_ELEC!$D$3</c:f>
              <c:strCache>
                <c:ptCount val="1"/>
                <c:pt idx="0">
                  <c:v>Somme de Poste [3]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multiLvlStrRef>
              <c:f>Evo_Conso_Postes_ELEC!$A$4:$A$8</c:f>
              <c:multiLvlStrCache>
                <c:ptCount val="3"/>
                <c:lvl>
                  <c:pt idx="0">
                    <c:v>janvier</c:v>
                  </c:pt>
                  <c:pt idx="1">
                    <c:v>février</c:v>
                  </c:pt>
                  <c:pt idx="2">
                    <c:v>mars</c:v>
                  </c:pt>
                </c:lvl>
                <c:lvl>
                  <c:pt idx="0">
                    <c:v>2022</c:v>
                  </c:pt>
                </c:lvl>
              </c:multiLvlStrCache>
            </c:multiLvlStrRef>
          </c:cat>
          <c:val>
            <c:numRef>
              <c:f>Evo_Conso_Postes_ELEC!$D$4:$D$8</c:f>
              <c:numCache>
                <c:formatCode>General</c:formatCode>
                <c:ptCount val="3"/>
              </c:numCache>
            </c:numRef>
          </c:val>
          <c:smooth val="0"/>
          <c:extLst>
            <c:ext xmlns:c16="http://schemas.microsoft.com/office/drawing/2014/chart" uri="{C3380CC4-5D6E-409C-BE32-E72D297353CC}">
              <c16:uniqueId val="{00000003-6B40-4C3C-BF30-F86EE1C3E309}"/>
            </c:ext>
          </c:extLst>
        </c:ser>
        <c:ser>
          <c:idx val="3"/>
          <c:order val="3"/>
          <c:tx>
            <c:strRef>
              <c:f>Evo_Conso_Postes_ELEC!$E$3</c:f>
              <c:strCache>
                <c:ptCount val="1"/>
                <c:pt idx="0">
                  <c:v>Somme de Poste [4] </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multiLvlStrRef>
              <c:f>Evo_Conso_Postes_ELEC!$A$4:$A$8</c:f>
              <c:multiLvlStrCache>
                <c:ptCount val="3"/>
                <c:lvl>
                  <c:pt idx="0">
                    <c:v>janvier</c:v>
                  </c:pt>
                  <c:pt idx="1">
                    <c:v>février</c:v>
                  </c:pt>
                  <c:pt idx="2">
                    <c:v>mars</c:v>
                  </c:pt>
                </c:lvl>
                <c:lvl>
                  <c:pt idx="0">
                    <c:v>2022</c:v>
                  </c:pt>
                </c:lvl>
              </c:multiLvlStrCache>
            </c:multiLvlStrRef>
          </c:cat>
          <c:val>
            <c:numRef>
              <c:f>Evo_Conso_Postes_ELEC!$E$4:$E$8</c:f>
              <c:numCache>
                <c:formatCode>General</c:formatCode>
                <c:ptCount val="3"/>
              </c:numCache>
            </c:numRef>
          </c:val>
          <c:smooth val="0"/>
          <c:extLst>
            <c:ext xmlns:c16="http://schemas.microsoft.com/office/drawing/2014/chart" uri="{C3380CC4-5D6E-409C-BE32-E72D297353CC}">
              <c16:uniqueId val="{00000004-6B40-4C3C-BF30-F86EE1C3E309}"/>
            </c:ext>
          </c:extLst>
        </c:ser>
        <c:dLbls>
          <c:showLegendKey val="0"/>
          <c:showVal val="0"/>
          <c:showCatName val="0"/>
          <c:showSerName val="0"/>
          <c:showPercent val="0"/>
          <c:showBubbleSize val="0"/>
        </c:dLbls>
        <c:marker val="1"/>
        <c:smooth val="0"/>
        <c:axId val="1213733216"/>
        <c:axId val="1213732800"/>
      </c:lineChart>
      <c:catAx>
        <c:axId val="121373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213732800"/>
        <c:crosses val="autoZero"/>
        <c:auto val="1"/>
        <c:lblAlgn val="ctr"/>
        <c:lblOffset val="100"/>
        <c:noMultiLvlLbl val="0"/>
      </c:catAx>
      <c:valAx>
        <c:axId val="1213732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fr-FR" sz="1100"/>
                  <a:t>Consommation</a:t>
                </a:r>
                <a:r>
                  <a:rPr lang="fr-FR" sz="1100" baseline="0"/>
                  <a:t> d'électricité en kw</a:t>
                </a:r>
                <a:endParaRPr lang="fr-FR"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21373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Adrianor.xlsx]Secteur_Conso_Postes_ELEC!Tab_Secteur_Conso_postes_ELEC(7)</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POURCENTAGE</a:t>
            </a:r>
            <a:r>
              <a:rPr lang="en-US" baseline="0"/>
              <a:t> DE LA CONSOMMATION D'ÉLECTRICITÉ DES DIFFÉRENTS POTES DURANT LA PÉRIODE SÉLECTIONNÉE </a:t>
            </a:r>
            <a:r>
              <a:rPr lang="en-US" baseline="30000"/>
              <a:t>(7)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2"/>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2"/>
          </a:solidFill>
          <a:ln w="19050">
            <a:solidFill>
              <a:schemeClr val="lt1"/>
            </a:solidFill>
          </a:ln>
          <a:effectLst/>
        </c:spPr>
      </c:pivotFmt>
      <c:pivotFmt>
        <c:idx val="20"/>
        <c:spPr>
          <a:solidFill>
            <a:schemeClr val="accent2"/>
          </a:solidFill>
          <a:ln w="19050">
            <a:solidFill>
              <a:schemeClr val="lt1"/>
            </a:solidFill>
          </a:ln>
          <a:effectLst/>
        </c:spPr>
      </c:pivotFmt>
      <c:pivotFmt>
        <c:idx val="21"/>
        <c:spPr>
          <a:solidFill>
            <a:schemeClr val="accent2"/>
          </a:solidFill>
          <a:ln w="19050">
            <a:solidFill>
              <a:schemeClr val="lt1"/>
            </a:solidFill>
          </a:ln>
          <a:effectLst/>
        </c:spPr>
      </c:pivotFmt>
      <c:pivotFmt>
        <c:idx val="22"/>
        <c:spPr>
          <a:solidFill>
            <a:schemeClr val="accent2"/>
          </a:solidFill>
          <a:ln w="19050">
            <a:solidFill>
              <a:schemeClr val="lt1"/>
            </a:solidFill>
          </a:ln>
          <a:effectLst/>
        </c:spPr>
      </c:pivotFmt>
      <c:pivotFmt>
        <c:idx val="23"/>
        <c:spPr>
          <a:solidFill>
            <a:schemeClr val="accent2"/>
          </a:solidFill>
          <a:ln w="19050">
            <a:solidFill>
              <a:schemeClr val="lt1"/>
            </a:solidFill>
          </a:ln>
          <a:effectLst/>
        </c:spPr>
      </c:pivotFmt>
      <c:pivotFmt>
        <c:idx val="24"/>
        <c:spPr>
          <a:solidFill>
            <a:schemeClr val="accent2"/>
          </a:solidFill>
          <a:ln w="19050">
            <a:solidFill>
              <a:schemeClr val="lt1"/>
            </a:solidFill>
          </a:ln>
          <a:effectLst/>
        </c:spPr>
      </c:pivotFmt>
      <c:pivotFmt>
        <c:idx val="25"/>
        <c:spPr>
          <a:solidFill>
            <a:schemeClr val="accent2"/>
          </a:solidFill>
          <a:ln w="19050">
            <a:solidFill>
              <a:schemeClr val="lt1"/>
            </a:solidFill>
          </a:ln>
          <a:effectLst/>
        </c:spPr>
      </c:pivotFmt>
      <c:pivotFmt>
        <c:idx val="26"/>
        <c:spPr>
          <a:solidFill>
            <a:schemeClr val="accent2"/>
          </a:solidFill>
          <a:ln w="19050">
            <a:solidFill>
              <a:schemeClr val="lt1"/>
            </a:solidFill>
          </a:ln>
          <a:effectLst/>
        </c:spPr>
      </c:pivotFmt>
      <c:pivotFmt>
        <c:idx val="27"/>
        <c:spPr>
          <a:solidFill>
            <a:schemeClr val="accent2"/>
          </a:solidFill>
          <a:ln w="19050">
            <a:solidFill>
              <a:schemeClr val="lt1"/>
            </a:solidFill>
          </a:ln>
          <a:effectLst/>
        </c:spPr>
      </c:pivotFmt>
      <c:pivotFmt>
        <c:idx val="28"/>
        <c:spPr>
          <a:solidFill>
            <a:schemeClr val="accent2"/>
          </a:solidFill>
          <a:ln w="19050">
            <a:solidFill>
              <a:schemeClr val="lt1"/>
            </a:solidFill>
          </a:ln>
          <a:effectLst/>
        </c:spPr>
      </c:pivotFmt>
      <c:pivotFmt>
        <c:idx val="29"/>
        <c:spPr>
          <a:solidFill>
            <a:schemeClr val="accent2"/>
          </a:solidFill>
          <a:ln w="19050">
            <a:solidFill>
              <a:schemeClr val="lt1"/>
            </a:solidFill>
          </a:ln>
          <a:effectLst/>
        </c:spPr>
      </c:pivotFmt>
      <c:pivotFmt>
        <c:idx val="30"/>
        <c:spPr>
          <a:solidFill>
            <a:schemeClr val="accent2"/>
          </a:solidFill>
          <a:ln w="19050">
            <a:solidFill>
              <a:schemeClr val="lt1"/>
            </a:solidFill>
          </a:ln>
          <a:effectLst/>
        </c:spPr>
      </c:pivotFmt>
      <c:pivotFmt>
        <c:idx val="31"/>
        <c:spPr>
          <a:solidFill>
            <a:schemeClr val="accent2"/>
          </a:solidFill>
          <a:ln w="19050">
            <a:solidFill>
              <a:schemeClr val="lt1"/>
            </a:solidFill>
          </a:ln>
          <a:effectLst/>
        </c:spPr>
      </c:pivotFmt>
      <c:pivotFmt>
        <c:idx val="32"/>
        <c:spPr>
          <a:solidFill>
            <a:schemeClr val="accent2"/>
          </a:solidFill>
          <a:ln w="19050">
            <a:solidFill>
              <a:schemeClr val="lt1"/>
            </a:solidFill>
          </a:ln>
          <a:effectLst/>
        </c:spPr>
      </c:pivotFmt>
      <c:pivotFmt>
        <c:idx val="33"/>
        <c:spPr>
          <a:solidFill>
            <a:schemeClr val="accent2"/>
          </a:solidFill>
          <a:ln w="19050">
            <a:solidFill>
              <a:schemeClr val="lt1"/>
            </a:solidFill>
          </a:ln>
          <a:effectLst/>
        </c:spPr>
      </c:pivotFmt>
      <c:pivotFmt>
        <c:idx val="34"/>
        <c:spPr>
          <a:solidFill>
            <a:schemeClr val="accent2"/>
          </a:solidFill>
          <a:ln w="19050">
            <a:solidFill>
              <a:schemeClr val="lt1"/>
            </a:solidFill>
          </a:ln>
          <a:effectLst/>
        </c:spPr>
      </c:pivotFmt>
      <c:pivotFmt>
        <c:idx val="35"/>
        <c:spPr>
          <a:solidFill>
            <a:schemeClr val="accent2"/>
          </a:solidFill>
          <a:ln w="19050">
            <a:solidFill>
              <a:schemeClr val="lt1"/>
            </a:solidFill>
          </a:ln>
          <a:effectLst/>
        </c:spPr>
      </c:pivotFmt>
      <c:pivotFmt>
        <c:idx val="36"/>
        <c:spPr>
          <a:solidFill>
            <a:schemeClr val="accent2"/>
          </a:solidFill>
          <a:ln w="19050">
            <a:solidFill>
              <a:schemeClr val="lt1"/>
            </a:solidFill>
          </a:ln>
          <a:effectLst/>
        </c:spPr>
      </c:pivotFmt>
      <c:pivotFmt>
        <c:idx val="37"/>
        <c:spPr>
          <a:solidFill>
            <a:schemeClr val="accent2"/>
          </a:solidFill>
          <a:ln w="19050">
            <a:solidFill>
              <a:schemeClr val="lt1"/>
            </a:solidFill>
          </a:ln>
          <a:effectLst/>
        </c:spPr>
      </c:pivotFmt>
      <c:pivotFmt>
        <c:idx val="38"/>
        <c:spPr>
          <a:solidFill>
            <a:schemeClr val="accent2"/>
          </a:solidFill>
          <a:ln w="19050">
            <a:solidFill>
              <a:schemeClr val="lt1"/>
            </a:solidFill>
          </a:ln>
          <a:effectLst/>
        </c:spPr>
      </c:pivotFmt>
      <c:pivotFmt>
        <c:idx val="39"/>
        <c:spPr>
          <a:solidFill>
            <a:schemeClr val="accent2"/>
          </a:solidFill>
          <a:ln w="19050">
            <a:solidFill>
              <a:schemeClr val="lt1"/>
            </a:solidFill>
          </a:ln>
          <a:effectLst/>
        </c:spPr>
        <c:marker>
          <c:symbol val="none"/>
        </c:marker>
        <c:dLbl>
          <c:idx val="0"/>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outEnd"/>
          <c:showLegendKey val="1"/>
          <c:showVal val="0"/>
          <c:showCatName val="0"/>
          <c:showSerName val="0"/>
          <c:showPercent val="1"/>
          <c:showBubbleSize val="0"/>
          <c:extLst>
            <c:ext xmlns:c15="http://schemas.microsoft.com/office/drawing/2012/chart" uri="{CE6537A1-D6FC-4f65-9D91-7224C49458BB}"/>
          </c:extLst>
        </c:dLbl>
      </c:pivotFmt>
      <c:pivotFmt>
        <c:idx val="40"/>
        <c:spPr>
          <a:solidFill>
            <a:schemeClr val="accent2"/>
          </a:solidFill>
          <a:ln w="19050">
            <a:solidFill>
              <a:schemeClr val="lt1"/>
            </a:solidFill>
          </a:ln>
          <a:effectLst/>
        </c:spPr>
      </c:pivotFmt>
      <c:pivotFmt>
        <c:idx val="41"/>
        <c:spPr>
          <a:solidFill>
            <a:schemeClr val="accent4"/>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2">
              <a:lumMod val="60000"/>
            </a:schemeClr>
          </a:solidFill>
          <a:ln w="19050">
            <a:solidFill>
              <a:schemeClr val="lt1"/>
            </a:solidFill>
          </a:ln>
          <a:effectLst/>
        </c:spPr>
      </c:pivotFmt>
      <c:pivotFmt>
        <c:idx val="44"/>
        <c:spPr>
          <a:solidFill>
            <a:schemeClr val="accent4">
              <a:lumMod val="60000"/>
            </a:schemeClr>
          </a:solidFill>
          <a:ln w="19050">
            <a:solidFill>
              <a:schemeClr val="lt1"/>
            </a:solidFill>
          </a:ln>
          <a:effectLst/>
        </c:spPr>
      </c:pivotFmt>
      <c:pivotFmt>
        <c:idx val="45"/>
        <c:spPr>
          <a:solidFill>
            <a:schemeClr val="accent6">
              <a:lumMod val="60000"/>
            </a:schemeClr>
          </a:solidFill>
          <a:ln w="19050">
            <a:solidFill>
              <a:schemeClr val="lt1"/>
            </a:solidFill>
          </a:ln>
          <a:effectLst/>
        </c:spPr>
      </c:pivotFmt>
      <c:pivotFmt>
        <c:idx val="46"/>
        <c:spPr>
          <a:solidFill>
            <a:schemeClr val="accent2">
              <a:lumMod val="80000"/>
              <a:lumOff val="20000"/>
            </a:schemeClr>
          </a:solidFill>
          <a:ln w="19050">
            <a:solidFill>
              <a:schemeClr val="lt1"/>
            </a:solidFill>
          </a:ln>
          <a:effectLst/>
        </c:spPr>
      </c:pivotFmt>
      <c:pivotFmt>
        <c:idx val="47"/>
        <c:spPr>
          <a:solidFill>
            <a:schemeClr val="accent4">
              <a:lumMod val="80000"/>
              <a:lumOff val="20000"/>
            </a:schemeClr>
          </a:solidFill>
          <a:ln w="19050">
            <a:solidFill>
              <a:schemeClr val="lt1"/>
            </a:solidFill>
          </a:ln>
          <a:effectLst/>
        </c:spPr>
      </c:pivotFmt>
      <c:pivotFmt>
        <c:idx val="48"/>
        <c:spPr>
          <a:solidFill>
            <a:schemeClr val="accent6">
              <a:lumMod val="80000"/>
              <a:lumOff val="20000"/>
            </a:schemeClr>
          </a:solidFill>
          <a:ln w="19050">
            <a:solidFill>
              <a:schemeClr val="lt1"/>
            </a:solidFill>
          </a:ln>
          <a:effectLst/>
        </c:spPr>
      </c:pivotFmt>
      <c:pivotFmt>
        <c:idx val="49"/>
        <c:spPr>
          <a:solidFill>
            <a:schemeClr val="accent2">
              <a:lumMod val="80000"/>
            </a:schemeClr>
          </a:solidFill>
          <a:ln w="19050">
            <a:solidFill>
              <a:schemeClr val="lt1"/>
            </a:solidFill>
          </a:ln>
          <a:effectLst/>
        </c:spPr>
      </c:pivotFmt>
      <c:pivotFmt>
        <c:idx val="50"/>
        <c:spPr>
          <a:solidFill>
            <a:schemeClr val="accent4">
              <a:lumMod val="80000"/>
            </a:schemeClr>
          </a:solidFill>
          <a:ln w="19050">
            <a:solidFill>
              <a:schemeClr val="lt1"/>
            </a:solidFill>
          </a:ln>
          <a:effectLst/>
        </c:spPr>
      </c:pivotFmt>
      <c:pivotFmt>
        <c:idx val="51"/>
        <c:spPr>
          <a:solidFill>
            <a:schemeClr val="accent6">
              <a:lumMod val="80000"/>
            </a:schemeClr>
          </a:solidFill>
          <a:ln w="19050">
            <a:solidFill>
              <a:schemeClr val="lt1"/>
            </a:solidFill>
          </a:ln>
          <a:effectLst/>
        </c:spPr>
      </c:pivotFmt>
      <c:pivotFmt>
        <c:idx val="52"/>
        <c:spPr>
          <a:solidFill>
            <a:schemeClr val="accent2">
              <a:lumMod val="60000"/>
              <a:lumOff val="40000"/>
            </a:schemeClr>
          </a:solidFill>
          <a:ln w="19050">
            <a:solidFill>
              <a:schemeClr val="lt1"/>
            </a:solidFill>
          </a:ln>
          <a:effectLst/>
        </c:spPr>
      </c:pivotFmt>
      <c:pivotFmt>
        <c:idx val="53"/>
        <c:spPr>
          <a:solidFill>
            <a:schemeClr val="accent4">
              <a:lumMod val="60000"/>
              <a:lumOff val="40000"/>
            </a:schemeClr>
          </a:solidFill>
          <a:ln w="19050">
            <a:solidFill>
              <a:schemeClr val="lt1"/>
            </a:solidFill>
          </a:ln>
          <a:effectLst/>
        </c:spPr>
      </c:pivotFmt>
      <c:pivotFmt>
        <c:idx val="54"/>
        <c:spPr>
          <a:solidFill>
            <a:schemeClr val="accent6">
              <a:lumMod val="60000"/>
              <a:lumOff val="40000"/>
            </a:schemeClr>
          </a:solidFill>
          <a:ln w="19050">
            <a:solidFill>
              <a:schemeClr val="lt1"/>
            </a:solidFill>
          </a:ln>
          <a:effectLst/>
        </c:spPr>
      </c:pivotFmt>
      <c:pivotFmt>
        <c:idx val="55"/>
        <c:spPr>
          <a:solidFill>
            <a:schemeClr val="accent2">
              <a:lumMod val="50000"/>
            </a:schemeClr>
          </a:solidFill>
          <a:ln w="19050">
            <a:solidFill>
              <a:schemeClr val="lt1"/>
            </a:solidFill>
          </a:ln>
          <a:effectLst/>
        </c:spPr>
      </c:pivotFmt>
      <c:pivotFmt>
        <c:idx val="56"/>
        <c:spPr>
          <a:solidFill>
            <a:schemeClr val="accent4">
              <a:lumMod val="50000"/>
            </a:schemeClr>
          </a:solidFill>
          <a:ln w="19050">
            <a:solidFill>
              <a:schemeClr val="lt1"/>
            </a:solidFill>
          </a:ln>
          <a:effectLst/>
        </c:spPr>
      </c:pivotFmt>
      <c:pivotFmt>
        <c:idx val="57"/>
        <c:spPr>
          <a:solidFill>
            <a:schemeClr val="accent6">
              <a:lumMod val="50000"/>
            </a:schemeClr>
          </a:solidFill>
          <a:ln w="19050">
            <a:solidFill>
              <a:schemeClr val="lt1"/>
            </a:solidFill>
          </a:ln>
          <a:effectLst/>
        </c:spPr>
      </c:pivotFmt>
      <c:pivotFmt>
        <c:idx val="58"/>
        <c:spPr>
          <a:solidFill>
            <a:schemeClr val="accent2">
              <a:lumMod val="70000"/>
              <a:lumOff val="30000"/>
            </a:schemeClr>
          </a:solidFill>
          <a:ln w="19050">
            <a:solidFill>
              <a:schemeClr val="lt1"/>
            </a:solidFill>
          </a:ln>
          <a:effectLst/>
        </c:spPr>
      </c:pivotFmt>
      <c:pivotFmt>
        <c:idx val="59"/>
        <c:spPr>
          <a:solidFill>
            <a:schemeClr val="accent4">
              <a:lumMod val="70000"/>
              <a:lumOff val="30000"/>
            </a:schemeClr>
          </a:solidFill>
          <a:ln w="19050">
            <a:solidFill>
              <a:schemeClr val="lt1"/>
            </a:solidFill>
          </a:ln>
          <a:effectLst/>
        </c:spPr>
      </c:pivotFmt>
      <c:pivotFmt>
        <c:idx val="60"/>
        <c:spPr>
          <a:solidFill>
            <a:schemeClr val="accent2"/>
          </a:solidFill>
          <a:ln w="19050">
            <a:solidFill>
              <a:schemeClr val="lt1"/>
            </a:solidFill>
          </a:ln>
          <a:effectLst/>
        </c:spPr>
        <c:marker>
          <c:symbol val="none"/>
        </c:marker>
        <c:dLbl>
          <c:idx val="0"/>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0"/>
          <c:showSerName val="0"/>
          <c:showPercent val="1"/>
          <c:showBubbleSize val="0"/>
          <c:extLst>
            <c:ext xmlns:c15="http://schemas.microsoft.com/office/drawing/2012/chart" uri="{CE6537A1-D6FC-4f65-9D91-7224C49458BB}"/>
          </c:extLst>
        </c:dLbl>
      </c:pivotFmt>
      <c:pivotFmt>
        <c:idx val="61"/>
        <c:spPr>
          <a:solidFill>
            <a:schemeClr val="accent2"/>
          </a:solidFill>
          <a:ln w="19050">
            <a:solidFill>
              <a:schemeClr val="lt1"/>
            </a:solidFill>
          </a:ln>
          <a:effectLst/>
        </c:spPr>
      </c:pivotFmt>
      <c:pivotFmt>
        <c:idx val="62"/>
        <c:spPr>
          <a:solidFill>
            <a:schemeClr val="accent2"/>
          </a:solidFill>
          <a:ln w="19050">
            <a:solidFill>
              <a:schemeClr val="lt1"/>
            </a:solidFill>
          </a:ln>
          <a:effectLst/>
        </c:spPr>
      </c:pivotFmt>
      <c:pivotFmt>
        <c:idx val="63"/>
        <c:spPr>
          <a:solidFill>
            <a:schemeClr val="accent2"/>
          </a:solidFill>
          <a:ln w="19050">
            <a:solidFill>
              <a:schemeClr val="lt1"/>
            </a:solidFill>
          </a:ln>
          <a:effectLst/>
        </c:spPr>
      </c:pivotFmt>
      <c:pivotFmt>
        <c:idx val="64"/>
        <c:spPr>
          <a:solidFill>
            <a:schemeClr val="accent2"/>
          </a:solidFill>
          <a:ln w="19050">
            <a:solidFill>
              <a:schemeClr val="lt1"/>
            </a:solidFill>
          </a:ln>
          <a:effectLst/>
        </c:spPr>
      </c:pivotFmt>
    </c:pivotFmts>
    <c:plotArea>
      <c:layout/>
      <c:pieChart>
        <c:varyColors val="1"/>
        <c:ser>
          <c:idx val="0"/>
          <c:order val="0"/>
          <c:tx>
            <c:strRef>
              <c:f>Secteur_Conso_Postes_ELEC!$B$3</c:f>
              <c:strCache>
                <c:ptCount val="1"/>
                <c:pt idx="0">
                  <c:v>Total</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E882-4594-BBD7-436393E29D32}"/>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E882-4594-BBD7-436393E29D32}"/>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E882-4594-BBD7-436393E29D32}"/>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E882-4594-BBD7-436393E29D32}"/>
              </c:ext>
            </c:extLst>
          </c:dPt>
          <c:dLbls>
            <c:numFmt formatCode="0.0%;\ \-\ 0.00%;\ &quot;&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Secteur_Conso_Postes_ELEC!$A$4:$A$7</c:f>
              <c:strCache>
                <c:ptCount val="4"/>
                <c:pt idx="0">
                  <c:v>Somme de Poste [1]</c:v>
                </c:pt>
                <c:pt idx="1">
                  <c:v>Somme de Poste [2]</c:v>
                </c:pt>
                <c:pt idx="2">
                  <c:v>Somme de Poste [3] </c:v>
                </c:pt>
                <c:pt idx="3">
                  <c:v>Somme de Poste [4] </c:v>
                </c:pt>
              </c:strCache>
            </c:strRef>
          </c:cat>
          <c:val>
            <c:numRef>
              <c:f>Secteur_Conso_Postes_ELEC!$B$4:$B$7</c:f>
              <c:numCache>
                <c:formatCode>General</c:formatCode>
                <c:ptCount val="4"/>
              </c:numCache>
            </c:numRef>
          </c:val>
          <c:extLst>
            <c:ext xmlns:c16="http://schemas.microsoft.com/office/drawing/2014/chart" uri="{C3380CC4-5D6E-409C-BE32-E72D297353CC}">
              <c16:uniqueId val="{00000001-B3EF-41CA-A2FD-E22F8BAB9B19}"/>
            </c:ext>
          </c:extLst>
        </c:ser>
        <c:dLbls>
          <c:dLblPos val="outEnd"/>
          <c:showLegendKey val="0"/>
          <c:showVal val="1"/>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9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Adrianor.xlsx]Conso_tot_GAZ!Tab_evolution_conso_tot_GAZ(15)</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ÉVOLUTION DE LA CONSOMMATION TOTALE DE GAZ PAR ANNÉE </a:t>
            </a:r>
            <a:r>
              <a:rPr lang="en-US" baseline="30000"/>
              <a:t>(15)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2"/>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Conso_tot_GAZ!$B$3:$B$4</c:f>
              <c:strCache>
                <c:ptCount val="1"/>
                <c:pt idx="0">
                  <c:v>2022</c:v>
                </c:pt>
              </c:strCache>
            </c:strRef>
          </c:tx>
          <c:spPr>
            <a:ln w="28575" cap="rnd">
              <a:solidFill>
                <a:schemeClr val="accent1"/>
              </a:solidFill>
              <a:round/>
            </a:ln>
            <a:effectLst/>
          </c:spPr>
          <c:marker>
            <c:symbol val="none"/>
          </c:marker>
          <c:cat>
            <c:strRef>
              <c:f>Conso_tot_GAZ!$A$5:$A$8</c:f>
              <c:strCache>
                <c:ptCount val="3"/>
                <c:pt idx="0">
                  <c:v>janvier</c:v>
                </c:pt>
                <c:pt idx="1">
                  <c:v>février</c:v>
                </c:pt>
                <c:pt idx="2">
                  <c:v>mars</c:v>
                </c:pt>
              </c:strCache>
            </c:strRef>
          </c:cat>
          <c:val>
            <c:numRef>
              <c:f>Conso_tot_GAZ!$B$5:$B$8</c:f>
              <c:numCache>
                <c:formatCode>General</c:formatCode>
                <c:ptCount val="3"/>
              </c:numCache>
            </c:numRef>
          </c:val>
          <c:smooth val="0"/>
          <c:extLst>
            <c:ext xmlns:c16="http://schemas.microsoft.com/office/drawing/2014/chart" uri="{C3380CC4-5D6E-409C-BE32-E72D297353CC}">
              <c16:uniqueId val="{00000000-2458-4AE1-8025-B0C7FA505CF5}"/>
            </c:ext>
          </c:extLst>
        </c:ser>
        <c:dLbls>
          <c:showLegendKey val="0"/>
          <c:showVal val="0"/>
          <c:showCatName val="0"/>
          <c:showSerName val="0"/>
          <c:showPercent val="0"/>
          <c:showBubbleSize val="0"/>
        </c:dLbls>
        <c:smooth val="0"/>
        <c:axId val="560080528"/>
        <c:axId val="560078864"/>
      </c:lineChart>
      <c:catAx>
        <c:axId val="560080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60078864"/>
        <c:crosses val="autoZero"/>
        <c:auto val="1"/>
        <c:lblAlgn val="ctr"/>
        <c:lblOffset val="100"/>
        <c:noMultiLvlLbl val="0"/>
      </c:catAx>
      <c:valAx>
        <c:axId val="560078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CONSOMMATION DE GAZ EN KW</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6008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[EXCEL SUIVI DES CONSOMMATIONS - Version  FR - Adrianor.xlsx]Conso_tot_GAZ!Tab_histo_conso_tot_GAZ(16)</c:name>
    <c:fmtId val="2"/>
  </c:pivotSource>
  <c:chart>
    <c:title>
      <c:tx>
        <c:rich>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r>
              <a:rPr lang="fr-FR" sz="1400" b="0"/>
              <a:t>Consommation</a:t>
            </a:r>
            <a:r>
              <a:rPr lang="fr-FR" sz="1400" b="0" baseline="0"/>
              <a:t> totale de gaz par annÉe </a:t>
            </a:r>
            <a:r>
              <a:rPr lang="fr-FR" sz="1400" b="0" baseline="30000"/>
              <a:t>(16)</a:t>
            </a:r>
            <a:endParaRPr lang="fr-FR" sz="1400" b="0"/>
          </a:p>
        </c:rich>
      </c:tx>
      <c:overlay val="0"/>
      <c:spPr>
        <a:noFill/>
        <a:ln>
          <a:noFill/>
        </a:ln>
        <a:effectLst/>
      </c:spPr>
      <c:txPr>
        <a:bodyPr rot="0" spcFirstLastPara="1" vertOverflow="ellipsis" vert="horz" wrap="square" anchor="ctr" anchorCtr="1"/>
        <a:lstStyle/>
        <a:p>
          <a:pPr>
            <a:defRPr sz="1400" b="0" i="0" u="none" strike="noStrike" kern="1200" cap="all" spc="50" baseline="0">
              <a:solidFill>
                <a:schemeClr val="tx1">
                  <a:lumMod val="65000"/>
                  <a:lumOff val="35000"/>
                </a:schemeClr>
              </a:solidFill>
              <a:latin typeface="+mn-lt"/>
              <a:ea typeface="+mn-ea"/>
              <a:cs typeface="+mn-cs"/>
            </a:defRPr>
          </a:pPr>
          <a:endParaRPr lang="fr-FR"/>
        </a:p>
      </c:txPr>
    </c:title>
    <c:autoTitleDeleted val="0"/>
    <c:pivotFmts>
      <c:pivotFmt>
        <c:idx val="0"/>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Conso_tot_GAZ!$B$20:$B$21</c:f>
              <c:strCache>
                <c:ptCount val="1"/>
                <c:pt idx="0">
                  <c:v>2022</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Conso_tot_GAZ!$A$22</c:f>
              <c:strCache>
                <c:ptCount val="1"/>
                <c:pt idx="0">
                  <c:v>Total</c:v>
                </c:pt>
              </c:strCache>
            </c:strRef>
          </c:cat>
          <c:val>
            <c:numRef>
              <c:f>Conso_tot_GAZ!$B$22</c:f>
              <c:numCache>
                <c:formatCode>#\ ##0" kw"</c:formatCode>
                <c:ptCount val="1"/>
              </c:numCache>
            </c:numRef>
          </c:val>
          <c:extLst>
            <c:ext xmlns:c16="http://schemas.microsoft.com/office/drawing/2014/chart" uri="{C3380CC4-5D6E-409C-BE32-E72D297353CC}">
              <c16:uniqueId val="{00000000-83A5-4C7B-AA74-6E5A279382D5}"/>
            </c:ext>
          </c:extLst>
        </c:ser>
        <c:dLbls>
          <c:dLblPos val="outEnd"/>
          <c:showLegendKey val="0"/>
          <c:showVal val="1"/>
          <c:showCatName val="0"/>
          <c:showSerName val="0"/>
          <c:showPercent val="0"/>
          <c:showBubbleSize val="0"/>
        </c:dLbls>
        <c:gapWidth val="355"/>
        <c:overlap val="-70"/>
        <c:axId val="1068836432"/>
        <c:axId val="1068826864"/>
      </c:barChart>
      <c:catAx>
        <c:axId val="1068836432"/>
        <c:scaling>
          <c:orientation val="minMax"/>
        </c:scaling>
        <c:delete val="1"/>
        <c:axPos val="b"/>
        <c:numFmt formatCode="General" sourceLinked="1"/>
        <c:majorTickMark val="none"/>
        <c:minorTickMark val="none"/>
        <c:tickLblPos val="nextTo"/>
        <c:crossAx val="1068826864"/>
        <c:crosses val="autoZero"/>
        <c:auto val="1"/>
        <c:lblAlgn val="ctr"/>
        <c:lblOffset val="100"/>
        <c:noMultiLvlLbl val="0"/>
      </c:catAx>
      <c:valAx>
        <c:axId val="1068826864"/>
        <c:scaling>
          <c:orientation val="minMax"/>
        </c:scaling>
        <c:delete val="1"/>
        <c:axPos val="l"/>
        <c:numFmt formatCode="#\ ##0&quot; kw&quot;" sourceLinked="1"/>
        <c:majorTickMark val="none"/>
        <c:minorTickMark val="none"/>
        <c:tickLblPos val="nextTo"/>
        <c:crossAx val="1068836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chart" Target="../charts/chart1.xml"/><Relationship Id="rId18" Type="http://schemas.openxmlformats.org/officeDocument/2006/relationships/chart" Target="../charts/chart6.xml"/><Relationship Id="rId3" Type="http://schemas.openxmlformats.org/officeDocument/2006/relationships/image" Target="../media/image4.gif"/><Relationship Id="rId7" Type="http://schemas.openxmlformats.org/officeDocument/2006/relationships/image" Target="../media/image7.svg"/><Relationship Id="rId12" Type="http://schemas.openxmlformats.org/officeDocument/2006/relationships/image" Target="../media/image11.svg"/><Relationship Id="rId17" Type="http://schemas.openxmlformats.org/officeDocument/2006/relationships/chart" Target="../charts/chart5.xml"/><Relationship Id="rId2" Type="http://schemas.openxmlformats.org/officeDocument/2006/relationships/hyperlink" Target="#'Tableau de Bord GAZ'!A1"/><Relationship Id="rId16" Type="http://schemas.openxmlformats.org/officeDocument/2006/relationships/chart" Target="../charts/chart4.xml"/><Relationship Id="rId1" Type="http://schemas.openxmlformats.org/officeDocument/2006/relationships/hyperlink" Target="#'Tableau de Bord EAU'!A1"/><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png"/><Relationship Id="rId15" Type="http://schemas.openxmlformats.org/officeDocument/2006/relationships/chart" Target="../charts/chart3.xml"/><Relationship Id="rId10" Type="http://schemas.openxmlformats.org/officeDocument/2006/relationships/hyperlink" Target="#'Base de donn&#233;es ELEC'!A1"/><Relationship Id="rId19" Type="http://schemas.openxmlformats.org/officeDocument/2006/relationships/chart" Target="../charts/chart7.xml"/><Relationship Id="rId4" Type="http://schemas.openxmlformats.org/officeDocument/2006/relationships/image" Target="../media/image2.png"/><Relationship Id="rId9" Type="http://schemas.openxmlformats.org/officeDocument/2006/relationships/image" Target="../media/image9.svg"/><Relationship Id="rId1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11.svg"/><Relationship Id="rId18" Type="http://schemas.openxmlformats.org/officeDocument/2006/relationships/chart" Target="../charts/chart13.xml"/><Relationship Id="rId3" Type="http://schemas.openxmlformats.org/officeDocument/2006/relationships/image" Target="../media/image13.svg"/><Relationship Id="rId7" Type="http://schemas.openxmlformats.org/officeDocument/2006/relationships/image" Target="../media/image2.png"/><Relationship Id="rId12" Type="http://schemas.openxmlformats.org/officeDocument/2006/relationships/image" Target="../media/image10.png"/><Relationship Id="rId17" Type="http://schemas.openxmlformats.org/officeDocument/2006/relationships/chart" Target="../charts/chart12.xml"/><Relationship Id="rId2" Type="http://schemas.openxmlformats.org/officeDocument/2006/relationships/image" Target="../media/image12.png"/><Relationship Id="rId16" Type="http://schemas.openxmlformats.org/officeDocument/2006/relationships/chart" Target="../charts/chart11.xml"/><Relationship Id="rId1" Type="http://schemas.openxmlformats.org/officeDocument/2006/relationships/chart" Target="../charts/chart8.xml"/><Relationship Id="rId6" Type="http://schemas.openxmlformats.org/officeDocument/2006/relationships/image" Target="../media/image4.gif"/><Relationship Id="rId11" Type="http://schemas.openxmlformats.org/officeDocument/2006/relationships/hyperlink" Target="#'Base de donn&#233;es GAZ'!A1"/><Relationship Id="rId5" Type="http://schemas.openxmlformats.org/officeDocument/2006/relationships/hyperlink" Target="#'Tableau de Bord EAU'!A1"/><Relationship Id="rId15" Type="http://schemas.openxmlformats.org/officeDocument/2006/relationships/chart" Target="../charts/chart10.xml"/><Relationship Id="rId10" Type="http://schemas.openxmlformats.org/officeDocument/2006/relationships/image" Target="../media/image7.svg"/><Relationship Id="rId19" Type="http://schemas.openxmlformats.org/officeDocument/2006/relationships/chart" Target="../charts/chart14.xml"/><Relationship Id="rId4" Type="http://schemas.openxmlformats.org/officeDocument/2006/relationships/hyperlink" Target="#'Tableau de Bord ELEC'!A1"/><Relationship Id="rId9" Type="http://schemas.openxmlformats.org/officeDocument/2006/relationships/image" Target="../media/image6.png"/><Relationship Id="rId1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hyperlink" Target="#'Tableau de Bord ELEC'!A1"/><Relationship Id="rId7" Type="http://schemas.openxmlformats.org/officeDocument/2006/relationships/image" Target="../media/image5.png"/><Relationship Id="rId12" Type="http://schemas.openxmlformats.org/officeDocument/2006/relationships/image" Target="../media/image11.svg"/><Relationship Id="rId17" Type="http://schemas.openxmlformats.org/officeDocument/2006/relationships/chart" Target="../charts/chart19.xml"/><Relationship Id="rId2" Type="http://schemas.openxmlformats.org/officeDocument/2006/relationships/image" Target="../media/image15.svg"/><Relationship Id="rId16" Type="http://schemas.openxmlformats.org/officeDocument/2006/relationships/chart" Target="../charts/chart18.xml"/><Relationship Id="rId1" Type="http://schemas.openxmlformats.org/officeDocument/2006/relationships/image" Target="../media/image14.png"/><Relationship Id="rId6" Type="http://schemas.openxmlformats.org/officeDocument/2006/relationships/image" Target="../media/image2.png"/><Relationship Id="rId11" Type="http://schemas.openxmlformats.org/officeDocument/2006/relationships/image" Target="../media/image10.png"/><Relationship Id="rId5" Type="http://schemas.openxmlformats.org/officeDocument/2006/relationships/image" Target="../media/image4.gif"/><Relationship Id="rId15" Type="http://schemas.openxmlformats.org/officeDocument/2006/relationships/chart" Target="../charts/chart17.xml"/><Relationship Id="rId10" Type="http://schemas.openxmlformats.org/officeDocument/2006/relationships/hyperlink" Target="#'Base de donn&#233;es EAU'!A1"/><Relationship Id="rId19" Type="http://schemas.openxmlformats.org/officeDocument/2006/relationships/chart" Target="../charts/chart21.xml"/><Relationship Id="rId4" Type="http://schemas.openxmlformats.org/officeDocument/2006/relationships/hyperlink" Target="#'Tableau de Bord GAZ'!A1"/><Relationship Id="rId9" Type="http://schemas.openxmlformats.org/officeDocument/2006/relationships/image" Target="../media/image7.svg"/><Relationship Id="rId1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Tableau de Bord ELEC'!A1"/><Relationship Id="rId3" Type="http://schemas.openxmlformats.org/officeDocument/2006/relationships/image" Target="../media/image17.svg"/><Relationship Id="rId7" Type="http://schemas.openxmlformats.org/officeDocument/2006/relationships/image" Target="../media/image2.png"/><Relationship Id="rId12" Type="http://schemas.openxmlformats.org/officeDocument/2006/relationships/image" Target="../media/image9.svg"/><Relationship Id="rId2" Type="http://schemas.openxmlformats.org/officeDocument/2006/relationships/image" Target="../media/image16.png"/><Relationship Id="rId1" Type="http://schemas.openxmlformats.org/officeDocument/2006/relationships/hyperlink" Target="#'Co&#251;t des consommations'!A1"/><Relationship Id="rId6" Type="http://schemas.openxmlformats.org/officeDocument/2006/relationships/image" Target="../media/image4.gif"/><Relationship Id="rId11" Type="http://schemas.openxmlformats.org/officeDocument/2006/relationships/image" Target="../media/image8.png"/><Relationship Id="rId5" Type="http://schemas.openxmlformats.org/officeDocument/2006/relationships/hyperlink" Target="#'Base de donn&#233;es GAZ'!A1"/><Relationship Id="rId15" Type="http://schemas.openxmlformats.org/officeDocument/2006/relationships/image" Target="../media/image19.svg"/><Relationship Id="rId10" Type="http://schemas.openxmlformats.org/officeDocument/2006/relationships/image" Target="../media/image7.svg"/><Relationship Id="rId4" Type="http://schemas.openxmlformats.org/officeDocument/2006/relationships/hyperlink" Target="#'Base de donn&#233;es EAU'!A1"/><Relationship Id="rId9" Type="http://schemas.openxmlformats.org/officeDocument/2006/relationships/image" Target="../media/image6.png"/><Relationship Id="rId14" Type="http://schemas.openxmlformats.org/officeDocument/2006/relationships/image" Target="../media/image18.png"/></Relationships>
</file>

<file path=xl/drawings/_rels/drawing6.xml.rels><?xml version="1.0" encoding="UTF-8" standalone="yes"?>
<Relationships xmlns="http://schemas.openxmlformats.org/package/2006/relationships"><Relationship Id="rId8" Type="http://schemas.openxmlformats.org/officeDocument/2006/relationships/image" Target="../media/image4.gif"/><Relationship Id="rId13" Type="http://schemas.openxmlformats.org/officeDocument/2006/relationships/hyperlink" Target="#'Tableau de Bord GAZ'!A1"/><Relationship Id="rId3" Type="http://schemas.openxmlformats.org/officeDocument/2006/relationships/hyperlink" Target="#'Base de donn&#233;es ELEC'!A1"/><Relationship Id="rId7" Type="http://schemas.openxmlformats.org/officeDocument/2006/relationships/hyperlink" Target="#'Base de donn&#233;es EAU'!A1"/><Relationship Id="rId12" Type="http://schemas.openxmlformats.org/officeDocument/2006/relationships/image" Target="../media/image7.svg"/><Relationship Id="rId2" Type="http://schemas.openxmlformats.org/officeDocument/2006/relationships/image" Target="../media/image13.svg"/><Relationship Id="rId1" Type="http://schemas.openxmlformats.org/officeDocument/2006/relationships/image" Target="../media/image12.png"/><Relationship Id="rId6" Type="http://schemas.openxmlformats.org/officeDocument/2006/relationships/image" Target="../media/image17.svg"/><Relationship Id="rId11" Type="http://schemas.openxmlformats.org/officeDocument/2006/relationships/image" Target="../media/image6.png"/><Relationship Id="rId5" Type="http://schemas.openxmlformats.org/officeDocument/2006/relationships/image" Target="../media/image16.png"/><Relationship Id="rId15" Type="http://schemas.openxmlformats.org/officeDocument/2006/relationships/image" Target="../media/image19.svg"/><Relationship Id="rId10" Type="http://schemas.openxmlformats.org/officeDocument/2006/relationships/image" Target="../media/image5.png"/><Relationship Id="rId4" Type="http://schemas.openxmlformats.org/officeDocument/2006/relationships/hyperlink" Target="#'Co&#251;t des consommations'!A1"/><Relationship Id="rId9" Type="http://schemas.openxmlformats.org/officeDocument/2006/relationships/image" Target="../media/image2.png"/><Relationship Id="rId1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8" Type="http://schemas.openxmlformats.org/officeDocument/2006/relationships/image" Target="../media/image4.gif"/><Relationship Id="rId13" Type="http://schemas.openxmlformats.org/officeDocument/2006/relationships/hyperlink" Target="#'Tableau de Bord EAU'!A1"/><Relationship Id="rId3" Type="http://schemas.openxmlformats.org/officeDocument/2006/relationships/hyperlink" Target="#'Base de donn&#233;es ELEC'!A1"/><Relationship Id="rId7" Type="http://schemas.openxmlformats.org/officeDocument/2006/relationships/hyperlink" Target="#'Base de donn&#233;es GAZ'!A1"/><Relationship Id="rId12" Type="http://schemas.openxmlformats.org/officeDocument/2006/relationships/image" Target="../media/image7.svg"/><Relationship Id="rId2" Type="http://schemas.openxmlformats.org/officeDocument/2006/relationships/image" Target="../media/image15.svg"/><Relationship Id="rId1" Type="http://schemas.openxmlformats.org/officeDocument/2006/relationships/image" Target="../media/image14.png"/><Relationship Id="rId6" Type="http://schemas.openxmlformats.org/officeDocument/2006/relationships/image" Target="../media/image17.svg"/><Relationship Id="rId11" Type="http://schemas.openxmlformats.org/officeDocument/2006/relationships/image" Target="../media/image6.png"/><Relationship Id="rId5" Type="http://schemas.openxmlformats.org/officeDocument/2006/relationships/image" Target="../media/image16.png"/><Relationship Id="rId15" Type="http://schemas.openxmlformats.org/officeDocument/2006/relationships/image" Target="../media/image19.svg"/><Relationship Id="rId10" Type="http://schemas.openxmlformats.org/officeDocument/2006/relationships/image" Target="../media/image5.png"/><Relationship Id="rId4" Type="http://schemas.openxmlformats.org/officeDocument/2006/relationships/hyperlink" Target="#'Co&#251;t des consommations'!A1"/><Relationship Id="rId9" Type="http://schemas.openxmlformats.org/officeDocument/2006/relationships/image" Target="../media/image2.png"/><Relationship Id="rId14" Type="http://schemas.openxmlformats.org/officeDocument/2006/relationships/image" Target="../media/image18.png"/></Relationships>
</file>

<file path=xl/drawings/_rels/drawing8.xml.rels><?xml version="1.0" encoding="UTF-8" standalone="yes"?>
<Relationships xmlns="http://schemas.openxmlformats.org/package/2006/relationships"><Relationship Id="rId2" Type="http://schemas.openxmlformats.org/officeDocument/2006/relationships/image" Target="../media/image21.sv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7</xdr:col>
      <xdr:colOff>209550</xdr:colOff>
      <xdr:row>5</xdr:row>
      <xdr:rowOff>19050</xdr:rowOff>
    </xdr:to>
    <xdr:grpSp>
      <xdr:nvGrpSpPr>
        <xdr:cNvPr id="2" name="Groupe 1">
          <a:extLst>
            <a:ext uri="{FF2B5EF4-FFF2-40B4-BE49-F238E27FC236}">
              <a16:creationId xmlns:a16="http://schemas.microsoft.com/office/drawing/2014/main" id="{A61574B2-2F67-EA4A-6CE1-6D528248F408}"/>
            </a:ext>
          </a:extLst>
        </xdr:cNvPr>
        <xdr:cNvGrpSpPr/>
      </xdr:nvGrpSpPr>
      <xdr:grpSpPr>
        <a:xfrm>
          <a:off x="0" y="209550"/>
          <a:ext cx="5543550" cy="4067175"/>
          <a:chOff x="129030" y="174089"/>
          <a:chExt cx="8889880" cy="6509490"/>
        </a:xfrm>
      </xdr:grpSpPr>
      <xdr:grpSp>
        <xdr:nvGrpSpPr>
          <xdr:cNvPr id="3" name="Groupe 2">
            <a:extLst>
              <a:ext uri="{FF2B5EF4-FFF2-40B4-BE49-F238E27FC236}">
                <a16:creationId xmlns:a16="http://schemas.microsoft.com/office/drawing/2014/main" id="{C581621F-B582-8F4C-A400-32CFD9E092A5}"/>
              </a:ext>
            </a:extLst>
          </xdr:cNvPr>
          <xdr:cNvGrpSpPr/>
        </xdr:nvGrpSpPr>
        <xdr:grpSpPr>
          <a:xfrm>
            <a:off x="129030" y="174089"/>
            <a:ext cx="8889880" cy="6509490"/>
            <a:chOff x="303098" y="366078"/>
            <a:chExt cx="6280582" cy="4598868"/>
          </a:xfrm>
        </xdr:grpSpPr>
        <xdr:sp macro="" textlink="">
          <xdr:nvSpPr>
            <xdr:cNvPr id="5" name="Rectangle : coins arrondis 4">
              <a:extLst>
                <a:ext uri="{FF2B5EF4-FFF2-40B4-BE49-F238E27FC236}">
                  <a16:creationId xmlns:a16="http://schemas.microsoft.com/office/drawing/2014/main" id="{0AD59F06-8C80-965F-AE91-2774F72DDE61}"/>
                </a:ext>
              </a:extLst>
            </xdr:cNvPr>
            <xdr:cNvSpPr/>
          </xdr:nvSpPr>
          <xdr:spPr>
            <a:xfrm>
              <a:off x="303098" y="366078"/>
              <a:ext cx="6280582" cy="4598868"/>
            </a:xfrm>
            <a:prstGeom prst="roundRect">
              <a:avLst/>
            </a:prstGeom>
            <a:solidFill>
              <a:schemeClr val="bg1"/>
            </a:solidFill>
            <a:ln w="190500">
              <a:solidFill>
                <a:srgbClr val="F9EB1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sz="3617"/>
            </a:p>
          </xdr:txBody>
        </xdr:sp>
        <xdr:grpSp>
          <xdr:nvGrpSpPr>
            <xdr:cNvPr id="6" name="Groupe 5">
              <a:extLst>
                <a:ext uri="{FF2B5EF4-FFF2-40B4-BE49-F238E27FC236}">
                  <a16:creationId xmlns:a16="http://schemas.microsoft.com/office/drawing/2014/main" id="{D827A2E7-3307-2BFF-D721-DDFEE62A592A}"/>
                </a:ext>
              </a:extLst>
            </xdr:cNvPr>
            <xdr:cNvGrpSpPr/>
          </xdr:nvGrpSpPr>
          <xdr:grpSpPr>
            <a:xfrm>
              <a:off x="708414" y="856811"/>
              <a:ext cx="5313201" cy="3507747"/>
              <a:chOff x="12354490" y="920300"/>
              <a:chExt cx="7791677" cy="6007939"/>
            </a:xfrm>
          </xdr:grpSpPr>
          <xdr:pic>
            <xdr:nvPicPr>
              <xdr:cNvPr id="7" name="Image 6">
                <a:extLst>
                  <a:ext uri="{FF2B5EF4-FFF2-40B4-BE49-F238E27FC236}">
                    <a16:creationId xmlns:a16="http://schemas.microsoft.com/office/drawing/2014/main" id="{916C340A-2DB3-4937-3A08-76A00262DE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96542" y="920300"/>
                <a:ext cx="7649625" cy="3804995"/>
              </a:xfrm>
              <a:prstGeom prst="rect">
                <a:avLst/>
              </a:prstGeom>
            </xdr:spPr>
          </xdr:pic>
          <xdr:pic>
            <xdr:nvPicPr>
              <xdr:cNvPr id="8" name="Image 7">
                <a:extLst>
                  <a:ext uri="{FF2B5EF4-FFF2-40B4-BE49-F238E27FC236}">
                    <a16:creationId xmlns:a16="http://schemas.microsoft.com/office/drawing/2014/main" id="{2B5714A0-BC11-8D96-A356-3B921A05AE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54490" y="5250116"/>
                <a:ext cx="3231426" cy="1678123"/>
              </a:xfrm>
              <a:prstGeom prst="rect">
                <a:avLst/>
              </a:prstGeom>
            </xdr:spPr>
          </xdr:pic>
        </xdr:grpSp>
      </xdr:grpSp>
      <xdr:pic>
        <xdr:nvPicPr>
          <xdr:cNvPr id="4" name="Image 3" descr="Une image contenant texte, signe&#10;&#10;Description générée automatiquement">
            <a:extLst>
              <a:ext uri="{FF2B5EF4-FFF2-40B4-BE49-F238E27FC236}">
                <a16:creationId xmlns:a16="http://schemas.microsoft.com/office/drawing/2014/main" id="{919ACDCF-A6A7-BF1E-C30A-9AA624BA14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32191" y="3000701"/>
            <a:ext cx="4461300" cy="29432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358140</xdr:colOff>
      <xdr:row>8</xdr:row>
      <xdr:rowOff>0</xdr:rowOff>
    </xdr:from>
    <xdr:to>
      <xdr:col>5</xdr:col>
      <xdr:colOff>191225</xdr:colOff>
      <xdr:row>10</xdr:row>
      <xdr:rowOff>106681</xdr:rowOff>
    </xdr:to>
    <xdr:sp macro="" textlink="">
      <xdr:nvSpPr>
        <xdr:cNvPr id="37" name="Rectangle : coins arrondis 36">
          <a:hlinkClick xmlns:r="http://schemas.openxmlformats.org/officeDocument/2006/relationships" r:id="rId1"/>
          <a:extLst>
            <a:ext uri="{FF2B5EF4-FFF2-40B4-BE49-F238E27FC236}">
              <a16:creationId xmlns:a16="http://schemas.microsoft.com/office/drawing/2014/main" id="{60864E9D-D072-488C-B6B5-97F2432C42FE}"/>
            </a:ext>
          </a:extLst>
        </xdr:cNvPr>
        <xdr:cNvSpPr/>
      </xdr:nvSpPr>
      <xdr:spPr>
        <a:xfrm>
          <a:off x="358140" y="1463040"/>
          <a:ext cx="3795485" cy="472441"/>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clientData/>
  </xdr:twoCellAnchor>
  <xdr:twoCellAnchor>
    <xdr:from>
      <xdr:col>5</xdr:col>
      <xdr:colOff>388620</xdr:colOff>
      <xdr:row>4</xdr:row>
      <xdr:rowOff>82731</xdr:rowOff>
    </xdr:from>
    <xdr:to>
      <xdr:col>12</xdr:col>
      <xdr:colOff>396240</xdr:colOff>
      <xdr:row>6</xdr:row>
      <xdr:rowOff>106680</xdr:rowOff>
    </xdr:to>
    <xdr:sp macro="" textlink="">
      <xdr:nvSpPr>
        <xdr:cNvPr id="14" name="Rectangle : coins arrondis 13">
          <a:extLst>
            <a:ext uri="{FF2B5EF4-FFF2-40B4-BE49-F238E27FC236}">
              <a16:creationId xmlns:a16="http://schemas.microsoft.com/office/drawing/2014/main" id="{5AA624D3-A09B-4C32-9CAA-7CB8D28E5342}"/>
            </a:ext>
          </a:extLst>
        </xdr:cNvPr>
        <xdr:cNvSpPr/>
      </xdr:nvSpPr>
      <xdr:spPr>
        <a:xfrm>
          <a:off x="435102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TABLEAU</a:t>
          </a:r>
          <a:r>
            <a:rPr lang="fr-FR" sz="1800" b="1" baseline="0">
              <a:solidFill>
                <a:schemeClr val="bg1">
                  <a:lumMod val="50000"/>
                </a:schemeClr>
              </a:solidFill>
            </a:rPr>
            <a:t> DE BORD DES CONSOMMATIONS</a:t>
          </a:r>
          <a:endParaRPr lang="fr-FR" sz="1800" b="1">
            <a:solidFill>
              <a:schemeClr val="bg1">
                <a:lumMod val="50000"/>
              </a:schemeClr>
            </a:solidFill>
          </a:endParaRPr>
        </a:p>
      </xdr:txBody>
    </xdr:sp>
    <xdr:clientData/>
  </xdr:twoCellAnchor>
  <xdr:twoCellAnchor>
    <xdr:from>
      <xdr:col>6</xdr:col>
      <xdr:colOff>576943</xdr:colOff>
      <xdr:row>7</xdr:row>
      <xdr:rowOff>181791</xdr:rowOff>
    </xdr:from>
    <xdr:to>
      <xdr:col>11</xdr:col>
      <xdr:colOff>400381</xdr:colOff>
      <xdr:row>10</xdr:row>
      <xdr:rowOff>104503</xdr:rowOff>
    </xdr:to>
    <xdr:sp macro="" textlink="">
      <xdr:nvSpPr>
        <xdr:cNvPr id="15" name="Rectangle : coins arrondis 14">
          <a:hlinkClick xmlns:r="http://schemas.openxmlformats.org/officeDocument/2006/relationships" r:id="rId2"/>
          <a:extLst>
            <a:ext uri="{FF2B5EF4-FFF2-40B4-BE49-F238E27FC236}">
              <a16:creationId xmlns:a16="http://schemas.microsoft.com/office/drawing/2014/main" id="{D606BA78-9A86-419D-8092-30B10BF66D3B}"/>
            </a:ext>
          </a:extLst>
        </xdr:cNvPr>
        <xdr:cNvSpPr/>
      </xdr:nvSpPr>
      <xdr:spPr>
        <a:xfrm>
          <a:off x="5331823" y="1461951"/>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clientData/>
  </xdr:twoCellAnchor>
  <xdr:twoCellAnchor editAs="oneCell">
    <xdr:from>
      <xdr:col>0</xdr:col>
      <xdr:colOff>236220</xdr:colOff>
      <xdr:row>0</xdr:row>
      <xdr:rowOff>146376</xdr:rowOff>
    </xdr:from>
    <xdr:to>
      <xdr:col>1</xdr:col>
      <xdr:colOff>634274</xdr:colOff>
      <xdr:row>3</xdr:row>
      <xdr:rowOff>1755</xdr:rowOff>
    </xdr:to>
    <xdr:pic>
      <xdr:nvPicPr>
        <xdr:cNvPr id="21" name="Image 20" descr="Afficher l’image source">
          <a:extLst>
            <a:ext uri="{FF2B5EF4-FFF2-40B4-BE49-F238E27FC236}">
              <a16:creationId xmlns:a16="http://schemas.microsoft.com/office/drawing/2014/main" id="{AFCE9BDF-F4B5-4172-B31D-A9FB5444637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556" t="12432" r="3758" b="14364"/>
        <a:stretch/>
      </xdr:blipFill>
      <xdr:spPr bwMode="auto">
        <a:xfrm>
          <a:off x="23622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512706</xdr:colOff>
      <xdr:row>0</xdr:row>
      <xdr:rowOff>0</xdr:rowOff>
    </xdr:from>
    <xdr:to>
      <xdr:col>17</xdr:col>
      <xdr:colOff>666002</xdr:colOff>
      <xdr:row>3</xdr:row>
      <xdr:rowOff>141642</xdr:rowOff>
    </xdr:to>
    <xdr:grpSp>
      <xdr:nvGrpSpPr>
        <xdr:cNvPr id="23" name="Groupe 22">
          <a:extLst>
            <a:ext uri="{FF2B5EF4-FFF2-40B4-BE49-F238E27FC236}">
              <a16:creationId xmlns:a16="http://schemas.microsoft.com/office/drawing/2014/main" id="{AB7AD194-EDCA-41FA-A4BC-9972922DEF0F}"/>
            </a:ext>
          </a:extLst>
        </xdr:cNvPr>
        <xdr:cNvGrpSpPr/>
      </xdr:nvGrpSpPr>
      <xdr:grpSpPr>
        <a:xfrm>
          <a:off x="11314056" y="0"/>
          <a:ext cx="2467871" cy="713142"/>
          <a:chOff x="13193649" y="0"/>
          <a:chExt cx="2530736" cy="690282"/>
        </a:xfrm>
      </xdr:grpSpPr>
      <xdr:pic>
        <xdr:nvPicPr>
          <xdr:cNvPr id="24" name="Image 23">
            <a:extLst>
              <a:ext uri="{FF2B5EF4-FFF2-40B4-BE49-F238E27FC236}">
                <a16:creationId xmlns:a16="http://schemas.microsoft.com/office/drawing/2014/main" id="{93040B09-4C77-10B3-BCAE-FE558A8805C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25" name="Image 24">
            <a:extLst>
              <a:ext uri="{FF2B5EF4-FFF2-40B4-BE49-F238E27FC236}">
                <a16:creationId xmlns:a16="http://schemas.microsoft.com/office/drawing/2014/main" id="{1CAB4323-35D7-0798-AF3D-4AEF7C9D8E3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388620</xdr:colOff>
      <xdr:row>11</xdr:row>
      <xdr:rowOff>67491</xdr:rowOff>
    </xdr:from>
    <xdr:to>
      <xdr:col>12</xdr:col>
      <xdr:colOff>396240</xdr:colOff>
      <xdr:row>13</xdr:row>
      <xdr:rowOff>91440</xdr:rowOff>
    </xdr:to>
    <xdr:sp macro="" textlink="">
      <xdr:nvSpPr>
        <xdr:cNvPr id="30" name="Rectangle : coins arrondis 29">
          <a:extLst>
            <a:ext uri="{FF2B5EF4-FFF2-40B4-BE49-F238E27FC236}">
              <a16:creationId xmlns:a16="http://schemas.microsoft.com/office/drawing/2014/main" id="{7EC1C58C-E7FE-487B-AFE3-F6A904EB164F}"/>
            </a:ext>
          </a:extLst>
        </xdr:cNvPr>
        <xdr:cNvSpPr/>
      </xdr:nvSpPr>
      <xdr:spPr>
        <a:xfrm>
          <a:off x="4351020" y="207917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Globale d'électricité du site</a:t>
          </a:r>
          <a:endParaRPr lang="fr-FR" sz="1800" b="1">
            <a:solidFill>
              <a:schemeClr val="bg1">
                <a:lumMod val="50000"/>
              </a:schemeClr>
            </a:solidFill>
          </a:endParaRPr>
        </a:p>
      </xdr:txBody>
    </xdr:sp>
    <xdr:clientData/>
  </xdr:twoCellAnchor>
  <xdr:twoCellAnchor>
    <xdr:from>
      <xdr:col>15</xdr:col>
      <xdr:colOff>198120</xdr:colOff>
      <xdr:row>4</xdr:row>
      <xdr:rowOff>44631</xdr:rowOff>
    </xdr:from>
    <xdr:to>
      <xdr:col>17</xdr:col>
      <xdr:colOff>220980</xdr:colOff>
      <xdr:row>5</xdr:row>
      <xdr:rowOff>106680</xdr:rowOff>
    </xdr:to>
    <xdr:sp macro="" textlink="">
      <xdr:nvSpPr>
        <xdr:cNvPr id="44" name="Rectangle : coins arrondis 43">
          <a:extLst>
            <a:ext uri="{FF2B5EF4-FFF2-40B4-BE49-F238E27FC236}">
              <a16:creationId xmlns:a16="http://schemas.microsoft.com/office/drawing/2014/main" id="{78E0701E-F3B8-463B-BD8D-F8228BA2489C}"/>
            </a:ext>
          </a:extLst>
        </xdr:cNvPr>
        <xdr:cNvSpPr/>
      </xdr:nvSpPr>
      <xdr:spPr>
        <a:xfrm>
          <a:off x="12085320" y="776151"/>
          <a:ext cx="160782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a:solidFill>
                <a:schemeClr val="bg1">
                  <a:lumMod val="50000"/>
                </a:schemeClr>
              </a:solidFill>
            </a:rPr>
            <a:t>Base</a:t>
          </a:r>
          <a:r>
            <a:rPr lang="fr-FR" sz="1500" b="1" baseline="0">
              <a:solidFill>
                <a:schemeClr val="bg1">
                  <a:lumMod val="50000"/>
                </a:schemeClr>
              </a:solidFill>
            </a:rPr>
            <a:t> de données </a:t>
          </a:r>
          <a:endParaRPr lang="fr-FR" sz="1500" b="1">
            <a:solidFill>
              <a:schemeClr val="bg1">
                <a:lumMod val="50000"/>
              </a:schemeClr>
            </a:solidFill>
          </a:endParaRPr>
        </a:p>
      </xdr:txBody>
    </xdr:sp>
    <xdr:clientData/>
  </xdr:twoCellAnchor>
  <xdr:twoCellAnchor editAs="oneCell">
    <xdr:from>
      <xdr:col>16</xdr:col>
      <xdr:colOff>656720</xdr:colOff>
      <xdr:row>4</xdr:row>
      <xdr:rowOff>146247</xdr:rowOff>
    </xdr:from>
    <xdr:to>
      <xdr:col>17</xdr:col>
      <xdr:colOff>240996</xdr:colOff>
      <xdr:row>6</xdr:row>
      <xdr:rowOff>157243</xdr:rowOff>
    </xdr:to>
    <xdr:pic>
      <xdr:nvPicPr>
        <xdr:cNvPr id="43" name="Graphique 42" descr="Flèche : incurvée dans le sens des aiguilles d’une montre avec un remplissage uni">
          <a:extLst>
            <a:ext uri="{FF2B5EF4-FFF2-40B4-BE49-F238E27FC236}">
              <a16:creationId xmlns:a16="http://schemas.microsoft.com/office/drawing/2014/main" id="{9499E184-2923-1E2F-8FBD-2B640396B49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7685067">
          <a:off x="13336400" y="877767"/>
          <a:ext cx="376756" cy="376756"/>
        </a:xfrm>
        <a:prstGeom prst="rect">
          <a:avLst/>
        </a:prstGeom>
      </xdr:spPr>
    </xdr:pic>
    <xdr:clientData/>
  </xdr:twoCellAnchor>
  <xdr:twoCellAnchor>
    <xdr:from>
      <xdr:col>12</xdr:col>
      <xdr:colOff>723900</xdr:colOff>
      <xdr:row>7</xdr:row>
      <xdr:rowOff>121920</xdr:rowOff>
    </xdr:from>
    <xdr:to>
      <xdr:col>17</xdr:col>
      <xdr:colOff>636813</xdr:colOff>
      <xdr:row>10</xdr:row>
      <xdr:rowOff>171995</xdr:rowOff>
    </xdr:to>
    <xdr:grpSp>
      <xdr:nvGrpSpPr>
        <xdr:cNvPr id="58" name="Groupe 57">
          <a:extLst>
            <a:ext uri="{FF2B5EF4-FFF2-40B4-BE49-F238E27FC236}">
              <a16:creationId xmlns:a16="http://schemas.microsoft.com/office/drawing/2014/main" id="{69551141-BE46-33F2-7C66-CD35D59D8C6A}"/>
            </a:ext>
          </a:extLst>
        </xdr:cNvPr>
        <xdr:cNvGrpSpPr/>
      </xdr:nvGrpSpPr>
      <xdr:grpSpPr>
        <a:xfrm>
          <a:off x="9982200" y="1455420"/>
          <a:ext cx="3770538" cy="621575"/>
          <a:chOff x="10233660" y="1402080"/>
          <a:chExt cx="3875313" cy="598715"/>
        </a:xfrm>
      </xdr:grpSpPr>
      <xdr:sp macro="" textlink="">
        <xdr:nvSpPr>
          <xdr:cNvPr id="32" name="Rectangle : coins arrondis 31">
            <a:extLst>
              <a:ext uri="{FF2B5EF4-FFF2-40B4-BE49-F238E27FC236}">
                <a16:creationId xmlns:a16="http://schemas.microsoft.com/office/drawing/2014/main" id="{76C80BDB-A140-7F36-439B-6C3F262FB7E1}"/>
              </a:ext>
            </a:extLst>
          </xdr:cNvPr>
          <xdr:cNvSpPr/>
        </xdr:nvSpPr>
        <xdr:spPr>
          <a:xfrm>
            <a:off x="10325100" y="1471846"/>
            <a:ext cx="3783873" cy="462936"/>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t>CONSOMMATION ÉLECTRICITÉ</a:t>
            </a:r>
          </a:p>
        </xdr:txBody>
      </xdr:sp>
      <xdr:grpSp>
        <xdr:nvGrpSpPr>
          <xdr:cNvPr id="47" name="Groupe 46">
            <a:extLst>
              <a:ext uri="{FF2B5EF4-FFF2-40B4-BE49-F238E27FC236}">
                <a16:creationId xmlns:a16="http://schemas.microsoft.com/office/drawing/2014/main" id="{B028115B-4215-FF4B-6C47-FBA4B1D7CBB7}"/>
              </a:ext>
            </a:extLst>
          </xdr:cNvPr>
          <xdr:cNvGrpSpPr/>
        </xdr:nvGrpSpPr>
        <xdr:grpSpPr>
          <a:xfrm>
            <a:off x="10233660" y="1402080"/>
            <a:ext cx="692447" cy="598715"/>
            <a:chOff x="7924800" y="3108960"/>
            <a:chExt cx="692447" cy="598715"/>
          </a:xfrm>
        </xdr:grpSpPr>
        <xdr:sp macro="" textlink="">
          <xdr:nvSpPr>
            <xdr:cNvPr id="45" name="Organigramme : Préparation 44">
              <a:extLst>
                <a:ext uri="{FF2B5EF4-FFF2-40B4-BE49-F238E27FC236}">
                  <a16:creationId xmlns:a16="http://schemas.microsoft.com/office/drawing/2014/main" id="{7FF75924-ED76-4A27-AA54-0EFB6CA12C86}"/>
                </a:ext>
              </a:extLst>
            </xdr:cNvPr>
            <xdr:cNvSpPr/>
          </xdr:nvSpPr>
          <xdr:spPr>
            <a:xfrm>
              <a:off x="7924800" y="3108960"/>
              <a:ext cx="692447" cy="598715"/>
            </a:xfrm>
            <a:prstGeom prst="flowChartPreparation">
              <a:avLst/>
            </a:prstGeom>
            <a:solidFill>
              <a:schemeClr val="bg1"/>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46" name="Graphique 1" descr="Éclair avec un remplissage uni">
              <a:extLst>
                <a:ext uri="{FF2B5EF4-FFF2-40B4-BE49-F238E27FC236}">
                  <a16:creationId xmlns:a16="http://schemas.microsoft.com/office/drawing/2014/main" id="{28BDEDEF-A455-4044-9930-76EF5213CD0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8022172" y="3173108"/>
              <a:ext cx="486877" cy="530595"/>
            </a:xfrm>
            <a:prstGeom prst="rect">
              <a:avLst/>
            </a:prstGeom>
          </xdr:spPr>
        </xdr:pic>
      </xdr:grpSp>
    </xdr:grpSp>
    <xdr:clientData/>
  </xdr:twoCellAnchor>
  <xdr:twoCellAnchor editAs="oneCell">
    <xdr:from>
      <xdr:col>17</xdr:col>
      <xdr:colOff>198120</xdr:colOff>
      <xdr:row>4</xdr:row>
      <xdr:rowOff>30480</xdr:rowOff>
    </xdr:from>
    <xdr:to>
      <xdr:col>17</xdr:col>
      <xdr:colOff>698640</xdr:colOff>
      <xdr:row>6</xdr:row>
      <xdr:rowOff>165240</xdr:rowOff>
    </xdr:to>
    <xdr:pic>
      <xdr:nvPicPr>
        <xdr:cNvPr id="85" name="Graphique 84" descr="Engrenage avec un remplissage uni">
          <a:hlinkClick xmlns:r="http://schemas.openxmlformats.org/officeDocument/2006/relationships" r:id="rId10"/>
          <a:extLst>
            <a:ext uri="{FF2B5EF4-FFF2-40B4-BE49-F238E27FC236}">
              <a16:creationId xmlns:a16="http://schemas.microsoft.com/office/drawing/2014/main" id="{F296FF31-8B0B-4E94-BC1D-625B699F9E0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670280" y="762000"/>
          <a:ext cx="500520" cy="500520"/>
        </a:xfrm>
        <a:prstGeom prst="rect">
          <a:avLst/>
        </a:prstGeom>
      </xdr:spPr>
    </xdr:pic>
    <xdr:clientData/>
  </xdr:twoCellAnchor>
  <xdr:twoCellAnchor>
    <xdr:from>
      <xdr:col>0</xdr:col>
      <xdr:colOff>0</xdr:colOff>
      <xdr:row>13</xdr:row>
      <xdr:rowOff>106680</xdr:rowOff>
    </xdr:from>
    <xdr:to>
      <xdr:col>7</xdr:col>
      <xdr:colOff>373380</xdr:colOff>
      <xdr:row>37</xdr:row>
      <xdr:rowOff>91440</xdr:rowOff>
    </xdr:to>
    <xdr:graphicFrame macro="">
      <xdr:nvGraphicFramePr>
        <xdr:cNvPr id="19" name="Evolution_conso_tot_ELEC(1)">
          <a:extLst>
            <a:ext uri="{FF2B5EF4-FFF2-40B4-BE49-F238E27FC236}">
              <a16:creationId xmlns:a16="http://schemas.microsoft.com/office/drawing/2014/main" id="{B3058876-F746-4F51-947B-EED09BB312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350520</xdr:colOff>
      <xdr:row>13</xdr:row>
      <xdr:rowOff>114300</xdr:rowOff>
    </xdr:from>
    <xdr:to>
      <xdr:col>14</xdr:col>
      <xdr:colOff>685800</xdr:colOff>
      <xdr:row>37</xdr:row>
      <xdr:rowOff>68580</xdr:rowOff>
    </xdr:to>
    <xdr:graphicFrame macro="">
      <xdr:nvGraphicFramePr>
        <xdr:cNvPr id="20" name="Histo_Conso_tot_ELEC(2)">
          <a:extLst>
            <a:ext uri="{FF2B5EF4-FFF2-40B4-BE49-F238E27FC236}">
              <a16:creationId xmlns:a16="http://schemas.microsoft.com/office/drawing/2014/main" id="{56B28405-CFFF-4E54-A873-01DD3C827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548640</xdr:colOff>
      <xdr:row>13</xdr:row>
      <xdr:rowOff>106680</xdr:rowOff>
    </xdr:from>
    <xdr:to>
      <xdr:col>17</xdr:col>
      <xdr:colOff>594360</xdr:colOff>
      <xdr:row>37</xdr:row>
      <xdr:rowOff>68580</xdr:rowOff>
    </xdr:to>
    <xdr:graphicFrame macro="">
      <xdr:nvGraphicFramePr>
        <xdr:cNvPr id="22" name="Histo_Cout_Conso_tot_ELEC(3)">
          <a:extLst>
            <a:ext uri="{FF2B5EF4-FFF2-40B4-BE49-F238E27FC236}">
              <a16:creationId xmlns:a16="http://schemas.microsoft.com/office/drawing/2014/main" id="{FD6B9E55-1C73-4ABB-A5AE-5F32BBBD0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xdr:col>
      <xdr:colOff>419100</xdr:colOff>
      <xdr:row>25</xdr:row>
      <xdr:rowOff>1</xdr:rowOff>
    </xdr:from>
    <xdr:to>
      <xdr:col>10</xdr:col>
      <xdr:colOff>327660</xdr:colOff>
      <xdr:row>35</xdr:row>
      <xdr:rowOff>175261</xdr:rowOff>
    </xdr:to>
    <mc:AlternateContent xmlns:mc="http://schemas.openxmlformats.org/markup-compatibility/2006" xmlns:a14="http://schemas.microsoft.com/office/drawing/2010/main">
      <mc:Choice Requires="a14">
        <xdr:graphicFrame macro="">
          <xdr:nvGraphicFramePr>
            <xdr:cNvPr id="2" name="MOIS">
              <a:extLst>
                <a:ext uri="{FF2B5EF4-FFF2-40B4-BE49-F238E27FC236}">
                  <a16:creationId xmlns:a16="http://schemas.microsoft.com/office/drawing/2014/main" id="{CF225D46-A7B9-D28F-88B4-A5FA5209AC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OIS"/>
            </a:graphicData>
          </a:graphic>
        </xdr:graphicFrame>
      </mc:Choice>
      <mc:Fallback xmlns="">
        <xdr:sp macro="" textlink="">
          <xdr:nvSpPr>
            <xdr:cNvPr id="0" name=""/>
            <xdr:cNvSpPr>
              <a:spLocks noTextEdit="1"/>
            </xdr:cNvSpPr>
          </xdr:nvSpPr>
          <xdr:spPr>
            <a:xfrm>
              <a:off x="5966460" y="4572001"/>
              <a:ext cx="2286000" cy="200406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editAs="oneCell">
    <xdr:from>
      <xdr:col>7</xdr:col>
      <xdr:colOff>434340</xdr:colOff>
      <xdr:row>14</xdr:row>
      <xdr:rowOff>106681</xdr:rowOff>
    </xdr:from>
    <xdr:to>
      <xdr:col>10</xdr:col>
      <xdr:colOff>335280</xdr:colOff>
      <xdr:row>24</xdr:row>
      <xdr:rowOff>106681</xdr:rowOff>
    </xdr:to>
    <mc:AlternateContent xmlns:mc="http://schemas.openxmlformats.org/markup-compatibility/2006" xmlns:a14="http://schemas.microsoft.com/office/drawing/2010/main">
      <mc:Choice Requires="a14">
        <xdr:graphicFrame macro="">
          <xdr:nvGraphicFramePr>
            <xdr:cNvPr id="3" name="ANNÉE">
              <a:extLst>
                <a:ext uri="{FF2B5EF4-FFF2-40B4-BE49-F238E27FC236}">
                  <a16:creationId xmlns:a16="http://schemas.microsoft.com/office/drawing/2014/main" id="{D011338C-F89D-253F-31F7-EFAFD91A0C0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NNÉE"/>
            </a:graphicData>
          </a:graphic>
        </xdr:graphicFrame>
      </mc:Choice>
      <mc:Fallback xmlns="">
        <xdr:sp macro="" textlink="">
          <xdr:nvSpPr>
            <xdr:cNvPr id="0" name=""/>
            <xdr:cNvSpPr>
              <a:spLocks noTextEdit="1"/>
            </xdr:cNvSpPr>
          </xdr:nvSpPr>
          <xdr:spPr>
            <a:xfrm>
              <a:off x="5981700" y="2667001"/>
              <a:ext cx="2278380" cy="1828800"/>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xdr:from>
      <xdr:col>0</xdr:col>
      <xdr:colOff>0</xdr:colOff>
      <xdr:row>39</xdr:row>
      <xdr:rowOff>137160</xdr:rowOff>
    </xdr:from>
    <xdr:to>
      <xdr:col>8</xdr:col>
      <xdr:colOff>777240</xdr:colOff>
      <xdr:row>64</xdr:row>
      <xdr:rowOff>0</xdr:rowOff>
    </xdr:to>
    <xdr:graphicFrame macro="">
      <xdr:nvGraphicFramePr>
        <xdr:cNvPr id="34" name="Histo_Conso_Postes_ELEC(3)">
          <a:extLst>
            <a:ext uri="{FF2B5EF4-FFF2-40B4-BE49-F238E27FC236}">
              <a16:creationId xmlns:a16="http://schemas.microsoft.com/office/drawing/2014/main" id="{C8058C7A-C048-497F-ABB8-B90EA1E29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769620</xdr:colOff>
      <xdr:row>39</xdr:row>
      <xdr:rowOff>144780</xdr:rowOff>
    </xdr:from>
    <xdr:to>
      <xdr:col>17</xdr:col>
      <xdr:colOff>777240</xdr:colOff>
      <xdr:row>64</xdr:row>
      <xdr:rowOff>7620</xdr:rowOff>
    </xdr:to>
    <xdr:graphicFrame macro="">
      <xdr:nvGraphicFramePr>
        <xdr:cNvPr id="35" name="Histo_cout_conso_postes_ELEC(4)">
          <a:extLst>
            <a:ext uri="{FF2B5EF4-FFF2-40B4-BE49-F238E27FC236}">
              <a16:creationId xmlns:a16="http://schemas.microsoft.com/office/drawing/2014/main" id="{81156C7A-0D73-4299-97AE-6E3114792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388620</xdr:colOff>
      <xdr:row>37</xdr:row>
      <xdr:rowOff>75111</xdr:rowOff>
    </xdr:from>
    <xdr:to>
      <xdr:col>12</xdr:col>
      <xdr:colOff>396240</xdr:colOff>
      <xdr:row>39</xdr:row>
      <xdr:rowOff>99060</xdr:rowOff>
    </xdr:to>
    <xdr:sp macro="" textlink="">
      <xdr:nvSpPr>
        <xdr:cNvPr id="36" name="Rectangle : coins arrondis 35">
          <a:extLst>
            <a:ext uri="{FF2B5EF4-FFF2-40B4-BE49-F238E27FC236}">
              <a16:creationId xmlns:a16="http://schemas.microsoft.com/office/drawing/2014/main" id="{F54B02E0-3A92-46D4-A372-E2755DE5921A}"/>
            </a:ext>
          </a:extLst>
        </xdr:cNvPr>
        <xdr:cNvSpPr/>
      </xdr:nvSpPr>
      <xdr:spPr>
        <a:xfrm>
          <a:off x="4351020" y="684167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totale d'électricité par poste</a:t>
          </a:r>
          <a:endParaRPr lang="fr-FR" sz="1800" b="1">
            <a:solidFill>
              <a:schemeClr val="bg1">
                <a:lumMod val="50000"/>
              </a:schemeClr>
            </a:solidFill>
          </a:endParaRPr>
        </a:p>
      </xdr:txBody>
    </xdr:sp>
    <xdr:clientData/>
  </xdr:twoCellAnchor>
  <xdr:twoCellAnchor>
    <xdr:from>
      <xdr:col>0</xdr:col>
      <xdr:colOff>0</xdr:colOff>
      <xdr:row>73</xdr:row>
      <xdr:rowOff>125509</xdr:rowOff>
    </xdr:from>
    <xdr:to>
      <xdr:col>10</xdr:col>
      <xdr:colOff>600635</xdr:colOff>
      <xdr:row>104</xdr:row>
      <xdr:rowOff>134473</xdr:rowOff>
    </xdr:to>
    <xdr:graphicFrame macro="">
      <xdr:nvGraphicFramePr>
        <xdr:cNvPr id="48" name="Evolution_conso_postes_ELEC(6)">
          <a:extLst>
            <a:ext uri="{FF2B5EF4-FFF2-40B4-BE49-F238E27FC236}">
              <a16:creationId xmlns:a16="http://schemas.microsoft.com/office/drawing/2014/main" id="{F9EF2DB4-8652-4DAE-8287-7F018D54B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573741</xdr:colOff>
      <xdr:row>73</xdr:row>
      <xdr:rowOff>125505</xdr:rowOff>
    </xdr:from>
    <xdr:to>
      <xdr:col>17</xdr:col>
      <xdr:colOff>784860</xdr:colOff>
      <xdr:row>104</xdr:row>
      <xdr:rowOff>143436</xdr:rowOff>
    </xdr:to>
    <xdr:graphicFrame macro="">
      <xdr:nvGraphicFramePr>
        <xdr:cNvPr id="49" name="Secteur_conso_postes_ELEC(7)">
          <a:extLst>
            <a:ext uri="{FF2B5EF4-FFF2-40B4-BE49-F238E27FC236}">
              <a16:creationId xmlns:a16="http://schemas.microsoft.com/office/drawing/2014/main" id="{CE7D376B-5799-417C-AD21-F03EB5738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381000</xdr:colOff>
      <xdr:row>63</xdr:row>
      <xdr:rowOff>90351</xdr:rowOff>
    </xdr:from>
    <xdr:to>
      <xdr:col>12</xdr:col>
      <xdr:colOff>388620</xdr:colOff>
      <xdr:row>65</xdr:row>
      <xdr:rowOff>114300</xdr:rowOff>
    </xdr:to>
    <xdr:sp macro="" textlink="">
      <xdr:nvSpPr>
        <xdr:cNvPr id="50" name="Rectangle : coins arrondis 49">
          <a:extLst>
            <a:ext uri="{FF2B5EF4-FFF2-40B4-BE49-F238E27FC236}">
              <a16:creationId xmlns:a16="http://schemas.microsoft.com/office/drawing/2014/main" id="{03185BBE-4524-4088-A074-B9A8B19DF9F2}"/>
            </a:ext>
          </a:extLst>
        </xdr:cNvPr>
        <xdr:cNvSpPr/>
      </xdr:nvSpPr>
      <xdr:spPr>
        <a:xfrm>
          <a:off x="4343400" y="1161179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d'électricité des postes par période</a:t>
          </a:r>
          <a:endParaRPr lang="fr-FR" sz="1800" b="1">
            <a:solidFill>
              <a:schemeClr val="bg1">
                <a:lumMod val="50000"/>
              </a:schemeClr>
            </a:solidFill>
          </a:endParaRPr>
        </a:p>
      </xdr:txBody>
    </xdr:sp>
    <xdr:clientData/>
  </xdr:twoCellAnchor>
  <xdr:twoCellAnchor editAs="oneCell">
    <xdr:from>
      <xdr:col>0</xdr:col>
      <xdr:colOff>114300</xdr:colOff>
      <xdr:row>65</xdr:row>
      <xdr:rowOff>144780</xdr:rowOff>
    </xdr:from>
    <xdr:to>
      <xdr:col>17</xdr:col>
      <xdr:colOff>655320</xdr:colOff>
      <xdr:row>71</xdr:row>
      <xdr:rowOff>160020</xdr:rowOff>
    </xdr:to>
    <mc:AlternateContent xmlns:mc="http://schemas.openxmlformats.org/markup-compatibility/2006" xmlns:tsle="http://schemas.microsoft.com/office/drawing/2012/timeslicer">
      <mc:Choice Requires="tsle">
        <xdr:graphicFrame macro="">
          <xdr:nvGraphicFramePr>
            <xdr:cNvPr id="4" name="Mois/Année ">
              <a:extLst>
                <a:ext uri="{FF2B5EF4-FFF2-40B4-BE49-F238E27FC236}">
                  <a16:creationId xmlns:a16="http://schemas.microsoft.com/office/drawing/2014/main" id="{7E4CA448-4C3E-2406-9FA5-606BD2C7A079}"/>
                </a:ext>
              </a:extLst>
            </xdr:cNvPr>
            <xdr:cNvGraphicFramePr/>
          </xdr:nvGraphicFramePr>
          <xdr:xfrm>
            <a:off x="0" y="0"/>
            <a:ext cx="0" cy="0"/>
          </xdr:xfrm>
          <a:graphic>
            <a:graphicData uri="http://schemas.microsoft.com/office/drawing/2012/timeslicer">
              <tsle:timeslicer name="Mois/Année "/>
            </a:graphicData>
          </a:graphic>
        </xdr:graphicFrame>
      </mc:Choice>
      <mc:Fallback xmlns="">
        <xdr:sp macro="" textlink="">
          <xdr:nvSpPr>
            <xdr:cNvPr id="0" name=""/>
            <xdr:cNvSpPr>
              <a:spLocks noTextEdit="1"/>
            </xdr:cNvSpPr>
          </xdr:nvSpPr>
          <xdr:spPr>
            <a:xfrm>
              <a:off x="114300" y="12031980"/>
              <a:ext cx="14013180" cy="1112520"/>
            </a:xfrm>
            <a:prstGeom prst="rect">
              <a:avLst/>
            </a:prstGeom>
            <a:solidFill>
              <a:prstClr val="white"/>
            </a:solidFill>
            <a:ln w="1">
              <a:solidFill>
                <a:prstClr val="green"/>
              </a:solidFill>
            </a:ln>
          </xdr:spPr>
          <xdr:txBody>
            <a:bodyPr vertOverflow="clip" horzOverflow="clip"/>
            <a:lstStyle/>
            <a:p>
              <a:r>
                <a:rPr lang="fr-FR" sz="1100"/>
                <a:t>Chronologie : fonctionne dans Excel 2013 ou version ultérieure. Ne pas déplacer ou redimensionner.</a:t>
              </a:r>
            </a:p>
          </xdr:txBody>
        </xdr:sp>
      </mc:Fallback>
    </mc:AlternateContent>
    <xdr:clientData fLocksWithSheet="0"/>
  </xdr:twoCellAnchor>
  <xdr:twoCellAnchor>
    <xdr:from>
      <xdr:col>0</xdr:col>
      <xdr:colOff>0</xdr:colOff>
      <xdr:row>13</xdr:row>
      <xdr:rowOff>15240</xdr:rowOff>
    </xdr:from>
    <xdr:to>
      <xdr:col>0</xdr:col>
      <xdr:colOff>502920</xdr:colOff>
      <xdr:row>16</xdr:row>
      <xdr:rowOff>15240</xdr:rowOff>
    </xdr:to>
    <xdr:sp macro="" textlink="">
      <xdr:nvSpPr>
        <xdr:cNvPr id="5" name="ZoneTexte 4">
          <a:extLst>
            <a:ext uri="{FF2B5EF4-FFF2-40B4-BE49-F238E27FC236}">
              <a16:creationId xmlns:a16="http://schemas.microsoft.com/office/drawing/2014/main" id="{2E3AB23F-1707-18E9-2C15-19EB393918CA}"/>
            </a:ext>
          </a:extLst>
        </xdr:cNvPr>
        <xdr:cNvSpPr txBox="1"/>
      </xdr:nvSpPr>
      <xdr:spPr>
        <a:xfrm>
          <a:off x="0" y="2392680"/>
          <a:ext cx="5029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a:t>
          </a:r>
        </a:p>
      </xdr:txBody>
    </xdr:sp>
    <xdr:clientData/>
  </xdr:twoCellAnchor>
  <xdr:twoCellAnchor>
    <xdr:from>
      <xdr:col>10</xdr:col>
      <xdr:colOff>426720</xdr:colOff>
      <xdr:row>13</xdr:row>
      <xdr:rowOff>106680</xdr:rowOff>
    </xdr:from>
    <xdr:to>
      <xdr:col>11</xdr:col>
      <xdr:colOff>137160</xdr:colOff>
      <xdr:row>16</xdr:row>
      <xdr:rowOff>106680</xdr:rowOff>
    </xdr:to>
    <xdr:sp macro="" textlink="">
      <xdr:nvSpPr>
        <xdr:cNvPr id="33" name="ZoneTexte 32">
          <a:extLst>
            <a:ext uri="{FF2B5EF4-FFF2-40B4-BE49-F238E27FC236}">
              <a16:creationId xmlns:a16="http://schemas.microsoft.com/office/drawing/2014/main" id="{D48361E6-98DC-4492-8470-E4F451CBE2FB}"/>
            </a:ext>
          </a:extLst>
        </xdr:cNvPr>
        <xdr:cNvSpPr txBox="1"/>
      </xdr:nvSpPr>
      <xdr:spPr>
        <a:xfrm>
          <a:off x="8351520" y="2484120"/>
          <a:ext cx="50292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(2)</a:t>
          </a:r>
        </a:p>
      </xdr:txBody>
    </xdr:sp>
    <xdr:clientData/>
  </xdr:twoCellAnchor>
  <xdr:twoCellAnchor>
    <xdr:from>
      <xdr:col>17</xdr:col>
      <xdr:colOff>312420</xdr:colOff>
      <xdr:row>13</xdr:row>
      <xdr:rowOff>112395</xdr:rowOff>
    </xdr:from>
    <xdr:to>
      <xdr:col>18</xdr:col>
      <xdr:colOff>24765</xdr:colOff>
      <xdr:row>16</xdr:row>
      <xdr:rowOff>112395</xdr:rowOff>
    </xdr:to>
    <xdr:sp macro="" textlink="">
      <xdr:nvSpPr>
        <xdr:cNvPr id="38" name="ZoneTexte 37">
          <a:extLst>
            <a:ext uri="{FF2B5EF4-FFF2-40B4-BE49-F238E27FC236}">
              <a16:creationId xmlns:a16="http://schemas.microsoft.com/office/drawing/2014/main" id="{36BF3ED1-066B-46FA-A268-B81151E1474C}"/>
            </a:ext>
          </a:extLst>
        </xdr:cNvPr>
        <xdr:cNvSpPr txBox="1"/>
      </xdr:nvSpPr>
      <xdr:spPr>
        <a:xfrm>
          <a:off x="13752195" y="246507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(3)</a:t>
          </a:r>
        </a:p>
      </xdr:txBody>
    </xdr:sp>
    <xdr:clientData/>
  </xdr:twoCellAnchor>
  <xdr:twoCellAnchor>
    <xdr:from>
      <xdr:col>0</xdr:col>
      <xdr:colOff>0</xdr:colOff>
      <xdr:row>39</xdr:row>
      <xdr:rowOff>17145</xdr:rowOff>
    </xdr:from>
    <xdr:to>
      <xdr:col>0</xdr:col>
      <xdr:colOff>502920</xdr:colOff>
      <xdr:row>42</xdr:row>
      <xdr:rowOff>17145</xdr:rowOff>
    </xdr:to>
    <xdr:sp macro="" textlink="">
      <xdr:nvSpPr>
        <xdr:cNvPr id="39" name="ZoneTexte 38">
          <a:extLst>
            <a:ext uri="{FF2B5EF4-FFF2-40B4-BE49-F238E27FC236}">
              <a16:creationId xmlns:a16="http://schemas.microsoft.com/office/drawing/2014/main" id="{07217182-B62B-4C01-B6C9-5985D85628C9}"/>
            </a:ext>
          </a:extLst>
        </xdr:cNvPr>
        <xdr:cNvSpPr txBox="1"/>
      </xdr:nvSpPr>
      <xdr:spPr>
        <a:xfrm>
          <a:off x="0" y="707517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(4)</a:t>
          </a:r>
        </a:p>
      </xdr:txBody>
    </xdr:sp>
    <xdr:clientData/>
  </xdr:twoCellAnchor>
  <xdr:twoCellAnchor>
    <xdr:from>
      <xdr:col>17</xdr:col>
      <xdr:colOff>371475</xdr:colOff>
      <xdr:row>39</xdr:row>
      <xdr:rowOff>26670</xdr:rowOff>
    </xdr:from>
    <xdr:to>
      <xdr:col>18</xdr:col>
      <xdr:colOff>83820</xdr:colOff>
      <xdr:row>42</xdr:row>
      <xdr:rowOff>26670</xdr:rowOff>
    </xdr:to>
    <xdr:sp macro="" textlink="">
      <xdr:nvSpPr>
        <xdr:cNvPr id="40" name="ZoneTexte 39">
          <a:extLst>
            <a:ext uri="{FF2B5EF4-FFF2-40B4-BE49-F238E27FC236}">
              <a16:creationId xmlns:a16="http://schemas.microsoft.com/office/drawing/2014/main" id="{65E8836E-230E-4614-9416-180D9B3B538C}"/>
            </a:ext>
          </a:extLst>
        </xdr:cNvPr>
        <xdr:cNvSpPr txBox="1"/>
      </xdr:nvSpPr>
      <xdr:spPr>
        <a:xfrm>
          <a:off x="13811250" y="708469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(5)</a:t>
          </a:r>
        </a:p>
      </xdr:txBody>
    </xdr:sp>
    <xdr:clientData/>
  </xdr:twoCellAnchor>
  <xdr:twoCellAnchor>
    <xdr:from>
      <xdr:col>0</xdr:col>
      <xdr:colOff>0</xdr:colOff>
      <xdr:row>73</xdr:row>
      <xdr:rowOff>26670</xdr:rowOff>
    </xdr:from>
    <xdr:to>
      <xdr:col>0</xdr:col>
      <xdr:colOff>502920</xdr:colOff>
      <xdr:row>76</xdr:row>
      <xdr:rowOff>26670</xdr:rowOff>
    </xdr:to>
    <xdr:sp macro="" textlink="">
      <xdr:nvSpPr>
        <xdr:cNvPr id="41" name="ZoneTexte 40">
          <a:extLst>
            <a:ext uri="{FF2B5EF4-FFF2-40B4-BE49-F238E27FC236}">
              <a16:creationId xmlns:a16="http://schemas.microsoft.com/office/drawing/2014/main" id="{CE3CE6F1-9C1A-4A5D-AA68-A62F718E80B7}"/>
            </a:ext>
          </a:extLst>
        </xdr:cNvPr>
        <xdr:cNvSpPr txBox="1"/>
      </xdr:nvSpPr>
      <xdr:spPr>
        <a:xfrm>
          <a:off x="0" y="1323784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(6)</a:t>
          </a:r>
        </a:p>
      </xdr:txBody>
    </xdr:sp>
    <xdr:clientData/>
  </xdr:twoCellAnchor>
  <xdr:twoCellAnchor>
    <xdr:from>
      <xdr:col>17</xdr:col>
      <xdr:colOff>371475</xdr:colOff>
      <xdr:row>73</xdr:row>
      <xdr:rowOff>26670</xdr:rowOff>
    </xdr:from>
    <xdr:to>
      <xdr:col>18</xdr:col>
      <xdr:colOff>83820</xdr:colOff>
      <xdr:row>76</xdr:row>
      <xdr:rowOff>26670</xdr:rowOff>
    </xdr:to>
    <xdr:sp macro="" textlink="">
      <xdr:nvSpPr>
        <xdr:cNvPr id="42" name="ZoneTexte 41">
          <a:extLst>
            <a:ext uri="{FF2B5EF4-FFF2-40B4-BE49-F238E27FC236}">
              <a16:creationId xmlns:a16="http://schemas.microsoft.com/office/drawing/2014/main" id="{B7638BAD-D8B1-4D22-8073-90E1ABB0E66A}"/>
            </a:ext>
          </a:extLst>
        </xdr:cNvPr>
        <xdr:cNvSpPr txBox="1"/>
      </xdr:nvSpPr>
      <xdr:spPr>
        <a:xfrm>
          <a:off x="13811250" y="1323784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60960</xdr:rowOff>
    </xdr:from>
    <xdr:to>
      <xdr:col>7</xdr:col>
      <xdr:colOff>434340</xdr:colOff>
      <xdr:row>37</xdr:row>
      <xdr:rowOff>106680</xdr:rowOff>
    </xdr:to>
    <xdr:graphicFrame macro="">
      <xdr:nvGraphicFramePr>
        <xdr:cNvPr id="32" name="Evolution_conso_tot_GAZ(15)">
          <a:extLst>
            <a:ext uri="{FF2B5EF4-FFF2-40B4-BE49-F238E27FC236}">
              <a16:creationId xmlns:a16="http://schemas.microsoft.com/office/drawing/2014/main" id="{3D4A63BA-3BDE-4B98-B295-5A4FC7A42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434340</xdr:colOff>
      <xdr:row>25</xdr:row>
      <xdr:rowOff>1</xdr:rowOff>
    </xdr:from>
    <xdr:to>
      <xdr:col>10</xdr:col>
      <xdr:colOff>342900</xdr:colOff>
      <xdr:row>35</xdr:row>
      <xdr:rowOff>167641</xdr:rowOff>
    </xdr:to>
    <mc:AlternateContent xmlns:mc="http://schemas.openxmlformats.org/markup-compatibility/2006" xmlns:a14="http://schemas.microsoft.com/office/drawing/2010/main">
      <mc:Choice Requires="a14">
        <xdr:graphicFrame macro="">
          <xdr:nvGraphicFramePr>
            <xdr:cNvPr id="23" name="MOIS 2">
              <a:extLst>
                <a:ext uri="{FF2B5EF4-FFF2-40B4-BE49-F238E27FC236}">
                  <a16:creationId xmlns:a16="http://schemas.microsoft.com/office/drawing/2014/main" id="{D1B36898-4C42-4513-A920-80506977C624}"/>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OIS 2"/>
            </a:graphicData>
          </a:graphic>
        </xdr:graphicFrame>
      </mc:Choice>
      <mc:Fallback xmlns="">
        <xdr:sp macro="" textlink="">
          <xdr:nvSpPr>
            <xdr:cNvPr id="0" name=""/>
            <xdr:cNvSpPr>
              <a:spLocks noTextEdit="1"/>
            </xdr:cNvSpPr>
          </xdr:nvSpPr>
          <xdr:spPr>
            <a:xfrm>
              <a:off x="6005407" y="4656668"/>
              <a:ext cx="2296160" cy="2030306"/>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editAs="oneCell">
    <xdr:from>
      <xdr:col>7</xdr:col>
      <xdr:colOff>441960</xdr:colOff>
      <xdr:row>14</xdr:row>
      <xdr:rowOff>99059</xdr:rowOff>
    </xdr:from>
    <xdr:to>
      <xdr:col>10</xdr:col>
      <xdr:colOff>342900</xdr:colOff>
      <xdr:row>24</xdr:row>
      <xdr:rowOff>114300</xdr:rowOff>
    </xdr:to>
    <mc:AlternateContent xmlns:mc="http://schemas.openxmlformats.org/markup-compatibility/2006" xmlns:a14="http://schemas.microsoft.com/office/drawing/2010/main">
      <mc:Choice Requires="a14">
        <xdr:graphicFrame macro="">
          <xdr:nvGraphicFramePr>
            <xdr:cNvPr id="24" name="ANNÉE 2">
              <a:extLst>
                <a:ext uri="{FF2B5EF4-FFF2-40B4-BE49-F238E27FC236}">
                  <a16:creationId xmlns:a16="http://schemas.microsoft.com/office/drawing/2014/main" id="{6DDC8C20-3F88-4525-944D-5E48526D624E}"/>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NNÉE 2"/>
            </a:graphicData>
          </a:graphic>
        </xdr:graphicFrame>
      </mc:Choice>
      <mc:Fallback xmlns="">
        <xdr:sp macro="" textlink="">
          <xdr:nvSpPr>
            <xdr:cNvPr id="0" name=""/>
            <xdr:cNvSpPr>
              <a:spLocks noTextEdit="1"/>
            </xdr:cNvSpPr>
          </xdr:nvSpPr>
          <xdr:spPr>
            <a:xfrm>
              <a:off x="6013027" y="2706792"/>
              <a:ext cx="2288540" cy="1877908"/>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xdr:from>
      <xdr:col>6</xdr:col>
      <xdr:colOff>495296</xdr:colOff>
      <xdr:row>7</xdr:row>
      <xdr:rowOff>129540</xdr:rowOff>
    </xdr:from>
    <xdr:to>
      <xdr:col>11</xdr:col>
      <xdr:colOff>399227</xdr:colOff>
      <xdr:row>10</xdr:row>
      <xdr:rowOff>168729</xdr:rowOff>
    </xdr:to>
    <xdr:grpSp>
      <xdr:nvGrpSpPr>
        <xdr:cNvPr id="18" name="Groupe 17">
          <a:extLst>
            <a:ext uri="{FF2B5EF4-FFF2-40B4-BE49-F238E27FC236}">
              <a16:creationId xmlns:a16="http://schemas.microsoft.com/office/drawing/2014/main" id="{910DACCF-B096-4EF4-9D92-7EC24191C5EB}"/>
            </a:ext>
          </a:extLst>
        </xdr:cNvPr>
        <xdr:cNvGrpSpPr/>
      </xdr:nvGrpSpPr>
      <xdr:grpSpPr>
        <a:xfrm>
          <a:off x="5130796" y="1463040"/>
          <a:ext cx="3766848" cy="610689"/>
          <a:chOff x="5250176" y="3436620"/>
          <a:chExt cx="3866331" cy="587829"/>
        </a:xfrm>
      </xdr:grpSpPr>
      <xdr:sp macro="" textlink="">
        <xdr:nvSpPr>
          <xdr:cNvPr id="19" name="Rectangle : coins arrondis 18">
            <a:extLst>
              <a:ext uri="{FF2B5EF4-FFF2-40B4-BE49-F238E27FC236}">
                <a16:creationId xmlns:a16="http://schemas.microsoft.com/office/drawing/2014/main" id="{8ED771FD-FC4D-9ECA-D2C3-3A60594EA42B}"/>
              </a:ext>
            </a:extLst>
          </xdr:cNvPr>
          <xdr:cNvSpPr/>
        </xdr:nvSpPr>
        <xdr:spPr>
          <a:xfrm>
            <a:off x="5326380" y="3497580"/>
            <a:ext cx="3790127" cy="454518"/>
          </a:xfrm>
          <a:prstGeom prst="roundRect">
            <a:avLst/>
          </a:prstGeom>
          <a:solidFill>
            <a:schemeClr val="accent2"/>
          </a:solidFill>
          <a:ln>
            <a:solidFill>
              <a:schemeClr val="accent2"/>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grpSp>
        <xdr:nvGrpSpPr>
          <xdr:cNvPr id="20" name="Groupe 19">
            <a:extLst>
              <a:ext uri="{FF2B5EF4-FFF2-40B4-BE49-F238E27FC236}">
                <a16:creationId xmlns:a16="http://schemas.microsoft.com/office/drawing/2014/main" id="{C4060876-5AAD-54C1-4B93-5EC310F25BEF}"/>
              </a:ext>
            </a:extLst>
          </xdr:cNvPr>
          <xdr:cNvGrpSpPr/>
        </xdr:nvGrpSpPr>
        <xdr:grpSpPr>
          <a:xfrm>
            <a:off x="5250176" y="3436620"/>
            <a:ext cx="690922" cy="587829"/>
            <a:chOff x="5573490" y="805544"/>
            <a:chExt cx="696685" cy="609600"/>
          </a:xfrm>
        </xdr:grpSpPr>
        <xdr:sp macro="" textlink="">
          <xdr:nvSpPr>
            <xdr:cNvPr id="21" name="Organigramme : Préparation 20">
              <a:extLst>
                <a:ext uri="{FF2B5EF4-FFF2-40B4-BE49-F238E27FC236}">
                  <a16:creationId xmlns:a16="http://schemas.microsoft.com/office/drawing/2014/main" id="{4289CEFC-CE05-793C-96CE-A05AF03B2D7C}"/>
                </a:ext>
              </a:extLst>
            </xdr:cNvPr>
            <xdr:cNvSpPr/>
          </xdr:nvSpPr>
          <xdr:spPr>
            <a:xfrm>
              <a:off x="5573490" y="805544"/>
              <a:ext cx="696685" cy="609600"/>
            </a:xfrm>
            <a:prstGeom prst="flowChartPreparation">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22" name="Graphique 21" descr="Feu avec un remplissage uni">
              <a:extLst>
                <a:ext uri="{FF2B5EF4-FFF2-40B4-BE49-F238E27FC236}">
                  <a16:creationId xmlns:a16="http://schemas.microsoft.com/office/drawing/2014/main" id="{DFAEECE8-8D94-8E5F-D967-F8725B38738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82343" y="859971"/>
              <a:ext cx="468085" cy="468085"/>
            </a:xfrm>
            <a:prstGeom prst="rect">
              <a:avLst/>
            </a:prstGeom>
          </xdr:spPr>
        </xdr:pic>
      </xdr:grpSp>
    </xdr:grpSp>
    <xdr:clientData/>
  </xdr:twoCellAnchor>
  <xdr:twoCellAnchor>
    <xdr:from>
      <xdr:col>13</xdr:col>
      <xdr:colOff>30480</xdr:colOff>
      <xdr:row>8</xdr:row>
      <xdr:rowOff>0</xdr:rowOff>
    </xdr:from>
    <xdr:to>
      <xdr:col>17</xdr:col>
      <xdr:colOff>646398</xdr:colOff>
      <xdr:row>10</xdr:row>
      <xdr:rowOff>105592</xdr:rowOff>
    </xdr:to>
    <xdr:sp macro="" textlink="">
      <xdr:nvSpPr>
        <xdr:cNvPr id="29" name="Rectangle : coins arrondis 28">
          <a:hlinkClick xmlns:r="http://schemas.openxmlformats.org/officeDocument/2006/relationships" r:id="rId4"/>
          <a:extLst>
            <a:ext uri="{FF2B5EF4-FFF2-40B4-BE49-F238E27FC236}">
              <a16:creationId xmlns:a16="http://schemas.microsoft.com/office/drawing/2014/main" id="{EDFF6917-4371-446D-A83C-3BEC85405554}"/>
            </a:ext>
          </a:extLst>
        </xdr:cNvPr>
        <xdr:cNvSpPr/>
      </xdr:nvSpPr>
      <xdr:spPr>
        <a:xfrm>
          <a:off x="10332720" y="1463040"/>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a:t>
          </a:r>
          <a:r>
            <a:rPr lang="fr-FR" sz="1100" b="1" baseline="0"/>
            <a:t> ÉLECTRICITÉ</a:t>
          </a:r>
          <a:endParaRPr lang="fr-FR" sz="1100" b="1"/>
        </a:p>
      </xdr:txBody>
    </xdr:sp>
    <xdr:clientData/>
  </xdr:twoCellAnchor>
  <xdr:twoCellAnchor>
    <xdr:from>
      <xdr:col>0</xdr:col>
      <xdr:colOff>358140</xdr:colOff>
      <xdr:row>8</xdr:row>
      <xdr:rowOff>0</xdr:rowOff>
    </xdr:from>
    <xdr:to>
      <xdr:col>5</xdr:col>
      <xdr:colOff>191225</xdr:colOff>
      <xdr:row>10</xdr:row>
      <xdr:rowOff>106681</xdr:rowOff>
    </xdr:to>
    <xdr:sp macro="" textlink="">
      <xdr:nvSpPr>
        <xdr:cNvPr id="2" name="Rectangle : coins arrondis 1">
          <a:hlinkClick xmlns:r="http://schemas.openxmlformats.org/officeDocument/2006/relationships" r:id="rId5"/>
          <a:extLst>
            <a:ext uri="{FF2B5EF4-FFF2-40B4-BE49-F238E27FC236}">
              <a16:creationId xmlns:a16="http://schemas.microsoft.com/office/drawing/2014/main" id="{447BE5DC-2DA9-40FA-8B7B-1B5DF587884A}"/>
            </a:ext>
          </a:extLst>
        </xdr:cNvPr>
        <xdr:cNvSpPr/>
      </xdr:nvSpPr>
      <xdr:spPr>
        <a:xfrm>
          <a:off x="358140" y="1463040"/>
          <a:ext cx="3795485" cy="472441"/>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clientData/>
  </xdr:twoCellAnchor>
  <xdr:twoCellAnchor>
    <xdr:from>
      <xdr:col>5</xdr:col>
      <xdr:colOff>388620</xdr:colOff>
      <xdr:row>4</xdr:row>
      <xdr:rowOff>82731</xdr:rowOff>
    </xdr:from>
    <xdr:to>
      <xdr:col>12</xdr:col>
      <xdr:colOff>396240</xdr:colOff>
      <xdr:row>6</xdr:row>
      <xdr:rowOff>106680</xdr:rowOff>
    </xdr:to>
    <xdr:sp macro="" textlink="">
      <xdr:nvSpPr>
        <xdr:cNvPr id="3" name="Rectangle : coins arrondis 2">
          <a:extLst>
            <a:ext uri="{FF2B5EF4-FFF2-40B4-BE49-F238E27FC236}">
              <a16:creationId xmlns:a16="http://schemas.microsoft.com/office/drawing/2014/main" id="{75CCF485-B2F3-427B-8C5F-3EB48BDAF754}"/>
            </a:ext>
          </a:extLst>
        </xdr:cNvPr>
        <xdr:cNvSpPr/>
      </xdr:nvSpPr>
      <xdr:spPr>
        <a:xfrm>
          <a:off x="435102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TABLEAU</a:t>
          </a:r>
          <a:r>
            <a:rPr lang="fr-FR" sz="1800" b="1" baseline="0">
              <a:solidFill>
                <a:schemeClr val="bg1">
                  <a:lumMod val="50000"/>
                </a:schemeClr>
              </a:solidFill>
            </a:rPr>
            <a:t> DE BORD DES CONSOMMATIONS</a:t>
          </a:r>
          <a:endParaRPr lang="fr-FR" sz="1800" b="1">
            <a:solidFill>
              <a:schemeClr val="bg1">
                <a:lumMod val="50000"/>
              </a:schemeClr>
            </a:solidFill>
          </a:endParaRPr>
        </a:p>
      </xdr:txBody>
    </xdr:sp>
    <xdr:clientData/>
  </xdr:twoCellAnchor>
  <xdr:twoCellAnchor editAs="oneCell">
    <xdr:from>
      <xdr:col>0</xdr:col>
      <xdr:colOff>236220</xdr:colOff>
      <xdr:row>0</xdr:row>
      <xdr:rowOff>146376</xdr:rowOff>
    </xdr:from>
    <xdr:to>
      <xdr:col>1</xdr:col>
      <xdr:colOff>634274</xdr:colOff>
      <xdr:row>2</xdr:row>
      <xdr:rowOff>181049</xdr:rowOff>
    </xdr:to>
    <xdr:pic>
      <xdr:nvPicPr>
        <xdr:cNvPr id="5" name="Image 4" descr="Afficher l’image source">
          <a:extLst>
            <a:ext uri="{FF2B5EF4-FFF2-40B4-BE49-F238E27FC236}">
              <a16:creationId xmlns:a16="http://schemas.microsoft.com/office/drawing/2014/main" id="{8BFE2F3F-AF06-48E7-877F-13366982A26B}"/>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4556" t="12432" r="3758" b="14364"/>
        <a:stretch/>
      </xdr:blipFill>
      <xdr:spPr bwMode="auto">
        <a:xfrm>
          <a:off x="23622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512706</xdr:colOff>
      <xdr:row>0</xdr:row>
      <xdr:rowOff>0</xdr:rowOff>
    </xdr:from>
    <xdr:to>
      <xdr:col>17</xdr:col>
      <xdr:colOff>666002</xdr:colOff>
      <xdr:row>3</xdr:row>
      <xdr:rowOff>141642</xdr:rowOff>
    </xdr:to>
    <xdr:grpSp>
      <xdr:nvGrpSpPr>
        <xdr:cNvPr id="7" name="Groupe 6">
          <a:extLst>
            <a:ext uri="{FF2B5EF4-FFF2-40B4-BE49-F238E27FC236}">
              <a16:creationId xmlns:a16="http://schemas.microsoft.com/office/drawing/2014/main" id="{2DDDED0F-4570-4D8D-A991-0D410051F6C9}"/>
            </a:ext>
          </a:extLst>
        </xdr:cNvPr>
        <xdr:cNvGrpSpPr/>
      </xdr:nvGrpSpPr>
      <xdr:grpSpPr>
        <a:xfrm>
          <a:off x="11328873" y="0"/>
          <a:ext cx="2471046" cy="713142"/>
          <a:chOff x="13193649" y="0"/>
          <a:chExt cx="2530736" cy="690282"/>
        </a:xfrm>
      </xdr:grpSpPr>
      <xdr:pic>
        <xdr:nvPicPr>
          <xdr:cNvPr id="8" name="Image 7">
            <a:extLst>
              <a:ext uri="{FF2B5EF4-FFF2-40B4-BE49-F238E27FC236}">
                <a16:creationId xmlns:a16="http://schemas.microsoft.com/office/drawing/2014/main" id="{BF3F4391-059B-6334-FD96-034FE9CFF88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9" name="Image 8">
            <a:extLst>
              <a:ext uri="{FF2B5EF4-FFF2-40B4-BE49-F238E27FC236}">
                <a16:creationId xmlns:a16="http://schemas.microsoft.com/office/drawing/2014/main" id="{545CACB5-DD1E-FCD6-8B22-0D14FD6BD22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388620</xdr:colOff>
      <xdr:row>11</xdr:row>
      <xdr:rowOff>67491</xdr:rowOff>
    </xdr:from>
    <xdr:to>
      <xdr:col>12</xdr:col>
      <xdr:colOff>396240</xdr:colOff>
      <xdr:row>13</xdr:row>
      <xdr:rowOff>91440</xdr:rowOff>
    </xdr:to>
    <xdr:sp macro="" textlink="">
      <xdr:nvSpPr>
        <xdr:cNvPr id="10" name="Rectangle : coins arrondis 9">
          <a:extLst>
            <a:ext uri="{FF2B5EF4-FFF2-40B4-BE49-F238E27FC236}">
              <a16:creationId xmlns:a16="http://schemas.microsoft.com/office/drawing/2014/main" id="{D8563C01-2C0F-4A58-A546-4BD6F258C7CB}"/>
            </a:ext>
          </a:extLst>
        </xdr:cNvPr>
        <xdr:cNvSpPr/>
      </xdr:nvSpPr>
      <xdr:spPr>
        <a:xfrm>
          <a:off x="4351020" y="207917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Globale de gaz du site</a:t>
          </a:r>
          <a:endParaRPr lang="fr-FR" sz="1800" b="1">
            <a:solidFill>
              <a:schemeClr val="bg1">
                <a:lumMod val="50000"/>
              </a:schemeClr>
            </a:solidFill>
          </a:endParaRPr>
        </a:p>
      </xdr:txBody>
    </xdr:sp>
    <xdr:clientData/>
  </xdr:twoCellAnchor>
  <xdr:twoCellAnchor>
    <xdr:from>
      <xdr:col>15</xdr:col>
      <xdr:colOff>198120</xdr:colOff>
      <xdr:row>4</xdr:row>
      <xdr:rowOff>44631</xdr:rowOff>
    </xdr:from>
    <xdr:to>
      <xdr:col>17</xdr:col>
      <xdr:colOff>220980</xdr:colOff>
      <xdr:row>5</xdr:row>
      <xdr:rowOff>106680</xdr:rowOff>
    </xdr:to>
    <xdr:sp macro="" textlink="">
      <xdr:nvSpPr>
        <xdr:cNvPr id="11" name="Rectangle : coins arrondis 10">
          <a:extLst>
            <a:ext uri="{FF2B5EF4-FFF2-40B4-BE49-F238E27FC236}">
              <a16:creationId xmlns:a16="http://schemas.microsoft.com/office/drawing/2014/main" id="{0DDB5491-F1C9-437F-812E-9F6E80059E3A}"/>
            </a:ext>
          </a:extLst>
        </xdr:cNvPr>
        <xdr:cNvSpPr/>
      </xdr:nvSpPr>
      <xdr:spPr>
        <a:xfrm>
          <a:off x="12085320" y="776151"/>
          <a:ext cx="160782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a:solidFill>
                <a:schemeClr val="bg1">
                  <a:lumMod val="50000"/>
                </a:schemeClr>
              </a:solidFill>
            </a:rPr>
            <a:t>Base</a:t>
          </a:r>
          <a:r>
            <a:rPr lang="fr-FR" sz="1500" b="1" baseline="0">
              <a:solidFill>
                <a:schemeClr val="bg1">
                  <a:lumMod val="50000"/>
                </a:schemeClr>
              </a:solidFill>
            </a:rPr>
            <a:t> de données </a:t>
          </a:r>
          <a:endParaRPr lang="fr-FR" sz="1500" b="1">
            <a:solidFill>
              <a:schemeClr val="bg1">
                <a:lumMod val="50000"/>
              </a:schemeClr>
            </a:solidFill>
          </a:endParaRPr>
        </a:p>
      </xdr:txBody>
    </xdr:sp>
    <xdr:clientData/>
  </xdr:twoCellAnchor>
  <xdr:twoCellAnchor editAs="oneCell">
    <xdr:from>
      <xdr:col>16</xdr:col>
      <xdr:colOff>656720</xdr:colOff>
      <xdr:row>4</xdr:row>
      <xdr:rowOff>146247</xdr:rowOff>
    </xdr:from>
    <xdr:to>
      <xdr:col>17</xdr:col>
      <xdr:colOff>240996</xdr:colOff>
      <xdr:row>6</xdr:row>
      <xdr:rowOff>157243</xdr:rowOff>
    </xdr:to>
    <xdr:pic>
      <xdr:nvPicPr>
        <xdr:cNvPr id="12" name="Graphique 11" descr="Flèche : incurvée dans le sens des aiguilles d’une montre avec un remplissage uni">
          <a:extLst>
            <a:ext uri="{FF2B5EF4-FFF2-40B4-BE49-F238E27FC236}">
              <a16:creationId xmlns:a16="http://schemas.microsoft.com/office/drawing/2014/main" id="{18EA3235-56A5-43AE-8713-70210FA3E43B}"/>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rot="7685067">
          <a:off x="13336400" y="877767"/>
          <a:ext cx="376756" cy="376756"/>
        </a:xfrm>
        <a:prstGeom prst="rect">
          <a:avLst/>
        </a:prstGeom>
      </xdr:spPr>
    </xdr:pic>
    <xdr:clientData/>
  </xdr:twoCellAnchor>
  <xdr:twoCellAnchor editAs="oneCell">
    <xdr:from>
      <xdr:col>17</xdr:col>
      <xdr:colOff>198120</xdr:colOff>
      <xdr:row>4</xdr:row>
      <xdr:rowOff>22860</xdr:rowOff>
    </xdr:from>
    <xdr:to>
      <xdr:col>17</xdr:col>
      <xdr:colOff>698640</xdr:colOff>
      <xdr:row>6</xdr:row>
      <xdr:rowOff>157620</xdr:rowOff>
    </xdr:to>
    <xdr:pic>
      <xdr:nvPicPr>
        <xdr:cNvPr id="31" name="Graphique 30" descr="Engrenage avec un remplissage uni">
          <a:hlinkClick xmlns:r="http://schemas.openxmlformats.org/officeDocument/2006/relationships" r:id="rId11"/>
          <a:extLst>
            <a:ext uri="{FF2B5EF4-FFF2-40B4-BE49-F238E27FC236}">
              <a16:creationId xmlns:a16="http://schemas.microsoft.com/office/drawing/2014/main" id="{6D5432D6-0C1B-4304-8A9B-3B85852E4767}"/>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13670280" y="754380"/>
          <a:ext cx="500520" cy="500520"/>
        </a:xfrm>
        <a:prstGeom prst="rect">
          <a:avLst/>
        </a:prstGeom>
      </xdr:spPr>
    </xdr:pic>
    <xdr:clientData/>
  </xdr:twoCellAnchor>
  <xdr:twoCellAnchor>
    <xdr:from>
      <xdr:col>10</xdr:col>
      <xdr:colOff>342900</xdr:colOff>
      <xdr:row>13</xdr:row>
      <xdr:rowOff>152400</xdr:rowOff>
    </xdr:from>
    <xdr:to>
      <xdr:col>14</xdr:col>
      <xdr:colOff>434340</xdr:colOff>
      <xdr:row>37</xdr:row>
      <xdr:rowOff>68580</xdr:rowOff>
    </xdr:to>
    <xdr:graphicFrame macro="">
      <xdr:nvGraphicFramePr>
        <xdr:cNvPr id="33" name="Histo_conso_tot_GAZ(16)">
          <a:extLst>
            <a:ext uri="{FF2B5EF4-FFF2-40B4-BE49-F238E27FC236}">
              <a16:creationId xmlns:a16="http://schemas.microsoft.com/office/drawing/2014/main" id="{25BCF203-6FF3-44E6-8408-D456F481F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594360</xdr:colOff>
      <xdr:row>13</xdr:row>
      <xdr:rowOff>152400</xdr:rowOff>
    </xdr:from>
    <xdr:to>
      <xdr:col>17</xdr:col>
      <xdr:colOff>670560</xdr:colOff>
      <xdr:row>37</xdr:row>
      <xdr:rowOff>68580</xdr:rowOff>
    </xdr:to>
    <xdr:graphicFrame macro="">
      <xdr:nvGraphicFramePr>
        <xdr:cNvPr id="34" name="Histo_cout_conso_tot_GAZ(17)">
          <a:extLst>
            <a:ext uri="{FF2B5EF4-FFF2-40B4-BE49-F238E27FC236}">
              <a16:creationId xmlns:a16="http://schemas.microsoft.com/office/drawing/2014/main" id="{CE3498E5-8D55-4726-94E9-46A196E2B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39</xdr:row>
      <xdr:rowOff>91440</xdr:rowOff>
    </xdr:from>
    <xdr:to>
      <xdr:col>8</xdr:col>
      <xdr:colOff>777240</xdr:colOff>
      <xdr:row>64</xdr:row>
      <xdr:rowOff>0</xdr:rowOff>
    </xdr:to>
    <xdr:graphicFrame macro="">
      <xdr:nvGraphicFramePr>
        <xdr:cNvPr id="35" name="Histo_conso_postes_GAZ(18)">
          <a:extLst>
            <a:ext uri="{FF2B5EF4-FFF2-40B4-BE49-F238E27FC236}">
              <a16:creationId xmlns:a16="http://schemas.microsoft.com/office/drawing/2014/main" id="{6EAB88B7-70AE-4FE8-90C2-15AB68729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769620</xdr:colOff>
      <xdr:row>39</xdr:row>
      <xdr:rowOff>83820</xdr:rowOff>
    </xdr:from>
    <xdr:to>
      <xdr:col>18</xdr:col>
      <xdr:colOff>7620</xdr:colOff>
      <xdr:row>64</xdr:row>
      <xdr:rowOff>0</xdr:rowOff>
    </xdr:to>
    <xdr:graphicFrame macro="">
      <xdr:nvGraphicFramePr>
        <xdr:cNvPr id="36" name="Histo_cout_conso_postes_GAZ(19)">
          <a:extLst>
            <a:ext uri="{FF2B5EF4-FFF2-40B4-BE49-F238E27FC236}">
              <a16:creationId xmlns:a16="http://schemas.microsoft.com/office/drawing/2014/main" id="{2B73860B-1A77-4E5F-B7C8-E7226C381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144780</xdr:colOff>
      <xdr:row>65</xdr:row>
      <xdr:rowOff>144780</xdr:rowOff>
    </xdr:from>
    <xdr:to>
      <xdr:col>17</xdr:col>
      <xdr:colOff>662940</xdr:colOff>
      <xdr:row>71</xdr:row>
      <xdr:rowOff>144780</xdr:rowOff>
    </xdr:to>
    <mc:AlternateContent xmlns:mc="http://schemas.openxmlformats.org/markup-compatibility/2006" xmlns:tsle="http://schemas.microsoft.com/office/drawing/2012/timeslicer">
      <mc:Choice Requires="tsle">
        <xdr:graphicFrame macro="">
          <xdr:nvGraphicFramePr>
            <xdr:cNvPr id="37" name="Mois/Année  2">
              <a:extLst>
                <a:ext uri="{FF2B5EF4-FFF2-40B4-BE49-F238E27FC236}">
                  <a16:creationId xmlns:a16="http://schemas.microsoft.com/office/drawing/2014/main" id="{5EF76073-7914-44F0-A844-2F7D81F21EB2}"/>
                </a:ext>
              </a:extLst>
            </xdr:cNvPr>
            <xdr:cNvGraphicFramePr/>
          </xdr:nvGraphicFramePr>
          <xdr:xfrm>
            <a:off x="0" y="0"/>
            <a:ext cx="0" cy="0"/>
          </xdr:xfrm>
          <a:graphic>
            <a:graphicData uri="http://schemas.microsoft.com/office/drawing/2012/timeslicer">
              <tsle:timeslicer name="Mois/Année  2"/>
            </a:graphicData>
          </a:graphic>
        </xdr:graphicFrame>
      </mc:Choice>
      <mc:Fallback xmlns="">
        <xdr:sp macro="" textlink="">
          <xdr:nvSpPr>
            <xdr:cNvPr id="0" name=""/>
            <xdr:cNvSpPr>
              <a:spLocks noTextEdit="1"/>
            </xdr:cNvSpPr>
          </xdr:nvSpPr>
          <xdr:spPr>
            <a:xfrm>
              <a:off x="144780" y="12252113"/>
              <a:ext cx="14047893" cy="1117600"/>
            </a:xfrm>
            <a:prstGeom prst="rect">
              <a:avLst/>
            </a:prstGeom>
            <a:solidFill>
              <a:prstClr val="white"/>
            </a:solidFill>
            <a:ln w="1">
              <a:solidFill>
                <a:prstClr val="green"/>
              </a:solidFill>
            </a:ln>
          </xdr:spPr>
          <xdr:txBody>
            <a:bodyPr vertOverflow="clip" horzOverflow="clip"/>
            <a:lstStyle/>
            <a:p>
              <a:r>
                <a:rPr lang="fr-FR" sz="1100"/>
                <a:t>Chronologie : fonctionne dans Excel 2013 ou version ultérieure. Ne pas déplacer ou redimensionner.</a:t>
              </a:r>
            </a:p>
          </xdr:txBody>
        </xdr:sp>
      </mc:Fallback>
    </mc:AlternateContent>
    <xdr:clientData fLocksWithSheet="0"/>
  </xdr:twoCellAnchor>
  <xdr:twoCellAnchor>
    <xdr:from>
      <xdr:col>0</xdr:col>
      <xdr:colOff>0</xdr:colOff>
      <xdr:row>72</xdr:row>
      <xdr:rowOff>175260</xdr:rowOff>
    </xdr:from>
    <xdr:to>
      <xdr:col>10</xdr:col>
      <xdr:colOff>708660</xdr:colOff>
      <xdr:row>105</xdr:row>
      <xdr:rowOff>0</xdr:rowOff>
    </xdr:to>
    <xdr:graphicFrame macro="">
      <xdr:nvGraphicFramePr>
        <xdr:cNvPr id="38" name="Evolution_conso_postes_GAZ(20)">
          <a:extLst>
            <a:ext uri="{FF2B5EF4-FFF2-40B4-BE49-F238E27FC236}">
              <a16:creationId xmlns:a16="http://schemas.microsoft.com/office/drawing/2014/main" id="{2354C601-B7A6-4C50-A811-C74AE25F3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708660</xdr:colOff>
      <xdr:row>72</xdr:row>
      <xdr:rowOff>175260</xdr:rowOff>
    </xdr:from>
    <xdr:to>
      <xdr:col>17</xdr:col>
      <xdr:colOff>784860</xdr:colOff>
      <xdr:row>105</xdr:row>
      <xdr:rowOff>7620</xdr:rowOff>
    </xdr:to>
    <xdr:graphicFrame macro="">
      <xdr:nvGraphicFramePr>
        <xdr:cNvPr id="39" name="Secteur_conso_postes_GAZ(21)">
          <a:extLst>
            <a:ext uri="{FF2B5EF4-FFF2-40B4-BE49-F238E27FC236}">
              <a16:creationId xmlns:a16="http://schemas.microsoft.com/office/drawing/2014/main" id="{67970F4C-F53B-43C3-B8E6-8ED274D0B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388620</xdr:colOff>
      <xdr:row>37</xdr:row>
      <xdr:rowOff>67491</xdr:rowOff>
    </xdr:from>
    <xdr:to>
      <xdr:col>12</xdr:col>
      <xdr:colOff>396240</xdr:colOff>
      <xdr:row>39</xdr:row>
      <xdr:rowOff>91440</xdr:rowOff>
    </xdr:to>
    <xdr:sp macro="" textlink="">
      <xdr:nvSpPr>
        <xdr:cNvPr id="41" name="Rectangle : coins arrondis 40">
          <a:extLst>
            <a:ext uri="{FF2B5EF4-FFF2-40B4-BE49-F238E27FC236}">
              <a16:creationId xmlns:a16="http://schemas.microsoft.com/office/drawing/2014/main" id="{6CD098EA-396E-4AAD-9921-D43B287821D9}"/>
            </a:ext>
          </a:extLst>
        </xdr:cNvPr>
        <xdr:cNvSpPr/>
      </xdr:nvSpPr>
      <xdr:spPr>
        <a:xfrm>
          <a:off x="4351020" y="68340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totale de gaz par poste</a:t>
          </a:r>
          <a:endParaRPr lang="fr-FR" sz="1800" b="1">
            <a:solidFill>
              <a:schemeClr val="bg1">
                <a:lumMod val="50000"/>
              </a:schemeClr>
            </a:solidFill>
          </a:endParaRPr>
        </a:p>
      </xdr:txBody>
    </xdr:sp>
    <xdr:clientData/>
  </xdr:twoCellAnchor>
  <xdr:twoCellAnchor>
    <xdr:from>
      <xdr:col>5</xdr:col>
      <xdr:colOff>381000</xdr:colOff>
      <xdr:row>63</xdr:row>
      <xdr:rowOff>82731</xdr:rowOff>
    </xdr:from>
    <xdr:to>
      <xdr:col>12</xdr:col>
      <xdr:colOff>388620</xdr:colOff>
      <xdr:row>65</xdr:row>
      <xdr:rowOff>106680</xdr:rowOff>
    </xdr:to>
    <xdr:sp macro="" textlink="">
      <xdr:nvSpPr>
        <xdr:cNvPr id="42" name="Rectangle : coins arrondis 41">
          <a:extLst>
            <a:ext uri="{FF2B5EF4-FFF2-40B4-BE49-F238E27FC236}">
              <a16:creationId xmlns:a16="http://schemas.microsoft.com/office/drawing/2014/main" id="{F31CB613-76AC-4137-9C76-EC828BD99573}"/>
            </a:ext>
          </a:extLst>
        </xdr:cNvPr>
        <xdr:cNvSpPr/>
      </xdr:nvSpPr>
      <xdr:spPr>
        <a:xfrm>
          <a:off x="4343400" y="1160417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de gaz des postes par période</a:t>
          </a:r>
          <a:endParaRPr lang="fr-FR" sz="1800" b="1">
            <a:solidFill>
              <a:schemeClr val="bg1">
                <a:lumMod val="50000"/>
              </a:schemeClr>
            </a:solidFill>
          </a:endParaRPr>
        </a:p>
      </xdr:txBody>
    </xdr:sp>
    <xdr:clientData/>
  </xdr:twoCellAnchor>
  <xdr:twoCellAnchor>
    <xdr:from>
      <xdr:col>0</xdr:col>
      <xdr:colOff>8467</xdr:colOff>
      <xdr:row>13</xdr:row>
      <xdr:rowOff>5715</xdr:rowOff>
    </xdr:from>
    <xdr:to>
      <xdr:col>0</xdr:col>
      <xdr:colOff>511387</xdr:colOff>
      <xdr:row>15</xdr:row>
      <xdr:rowOff>176107</xdr:rowOff>
    </xdr:to>
    <xdr:sp macro="" textlink="">
      <xdr:nvSpPr>
        <xdr:cNvPr id="43" name="ZoneTexte 42">
          <a:extLst>
            <a:ext uri="{FF2B5EF4-FFF2-40B4-BE49-F238E27FC236}">
              <a16:creationId xmlns:a16="http://schemas.microsoft.com/office/drawing/2014/main" id="{53FA0E4C-AE05-4C1E-A6A6-91A894AB573F}"/>
            </a:ext>
          </a:extLst>
        </xdr:cNvPr>
        <xdr:cNvSpPr txBox="1"/>
      </xdr:nvSpPr>
      <xdr:spPr>
        <a:xfrm>
          <a:off x="8467" y="2427182"/>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(15)</a:t>
          </a:r>
        </a:p>
      </xdr:txBody>
    </xdr:sp>
    <xdr:clientData/>
  </xdr:twoCellAnchor>
  <xdr:twoCellAnchor>
    <xdr:from>
      <xdr:col>10</xdr:col>
      <xdr:colOff>373803</xdr:colOff>
      <xdr:row>13</xdr:row>
      <xdr:rowOff>37888</xdr:rowOff>
    </xdr:from>
    <xdr:to>
      <xdr:col>11</xdr:col>
      <xdr:colOff>78952</xdr:colOff>
      <xdr:row>16</xdr:row>
      <xdr:rowOff>22013</xdr:rowOff>
    </xdr:to>
    <xdr:sp macro="" textlink="">
      <xdr:nvSpPr>
        <xdr:cNvPr id="44" name="ZoneTexte 43">
          <a:extLst>
            <a:ext uri="{FF2B5EF4-FFF2-40B4-BE49-F238E27FC236}">
              <a16:creationId xmlns:a16="http://schemas.microsoft.com/office/drawing/2014/main" id="{1D13084F-5800-45F0-867B-3E398E498084}"/>
            </a:ext>
          </a:extLst>
        </xdr:cNvPr>
        <xdr:cNvSpPr txBox="1"/>
      </xdr:nvSpPr>
      <xdr:spPr>
        <a:xfrm>
          <a:off x="8332470" y="2459355"/>
          <a:ext cx="50101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(16)</a:t>
          </a:r>
        </a:p>
      </xdr:txBody>
    </xdr:sp>
    <xdr:clientData/>
  </xdr:twoCellAnchor>
  <xdr:twoCellAnchor>
    <xdr:from>
      <xdr:col>17</xdr:col>
      <xdr:colOff>222462</xdr:colOff>
      <xdr:row>13</xdr:row>
      <xdr:rowOff>43603</xdr:rowOff>
    </xdr:from>
    <xdr:to>
      <xdr:col>17</xdr:col>
      <xdr:colOff>725382</xdr:colOff>
      <xdr:row>16</xdr:row>
      <xdr:rowOff>27728</xdr:rowOff>
    </xdr:to>
    <xdr:sp macro="" textlink="">
      <xdr:nvSpPr>
        <xdr:cNvPr id="45" name="ZoneTexte 44">
          <a:extLst>
            <a:ext uri="{FF2B5EF4-FFF2-40B4-BE49-F238E27FC236}">
              <a16:creationId xmlns:a16="http://schemas.microsoft.com/office/drawing/2014/main" id="{9B5DDF17-521D-485F-BFAA-E1FF97FFDD6F}"/>
            </a:ext>
          </a:extLst>
        </xdr:cNvPr>
        <xdr:cNvSpPr txBox="1"/>
      </xdr:nvSpPr>
      <xdr:spPr>
        <a:xfrm>
          <a:off x="13752195" y="246507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(17)</a:t>
          </a:r>
        </a:p>
      </xdr:txBody>
    </xdr:sp>
    <xdr:clientData/>
  </xdr:twoCellAnchor>
  <xdr:twoCellAnchor>
    <xdr:from>
      <xdr:col>0</xdr:col>
      <xdr:colOff>0</xdr:colOff>
      <xdr:row>38</xdr:row>
      <xdr:rowOff>183307</xdr:rowOff>
    </xdr:from>
    <xdr:to>
      <xdr:col>0</xdr:col>
      <xdr:colOff>502920</xdr:colOff>
      <xdr:row>41</xdr:row>
      <xdr:rowOff>167432</xdr:rowOff>
    </xdr:to>
    <xdr:sp macro="" textlink="">
      <xdr:nvSpPr>
        <xdr:cNvPr id="46" name="ZoneTexte 45">
          <a:extLst>
            <a:ext uri="{FF2B5EF4-FFF2-40B4-BE49-F238E27FC236}">
              <a16:creationId xmlns:a16="http://schemas.microsoft.com/office/drawing/2014/main" id="{5676CFB9-1BB2-405A-83F7-29567F9102CD}"/>
            </a:ext>
          </a:extLst>
        </xdr:cNvPr>
        <xdr:cNvSpPr txBox="1"/>
      </xdr:nvSpPr>
      <xdr:spPr>
        <a:xfrm>
          <a:off x="0" y="726144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(18)</a:t>
          </a:r>
        </a:p>
      </xdr:txBody>
    </xdr:sp>
    <xdr:clientData/>
  </xdr:twoCellAnchor>
  <xdr:twoCellAnchor>
    <xdr:from>
      <xdr:col>17</xdr:col>
      <xdr:colOff>281517</xdr:colOff>
      <xdr:row>39</xdr:row>
      <xdr:rowOff>6565</xdr:rowOff>
    </xdr:from>
    <xdr:to>
      <xdr:col>17</xdr:col>
      <xdr:colOff>784437</xdr:colOff>
      <xdr:row>41</xdr:row>
      <xdr:rowOff>176957</xdr:rowOff>
    </xdr:to>
    <xdr:sp macro="" textlink="">
      <xdr:nvSpPr>
        <xdr:cNvPr id="47" name="ZoneTexte 46">
          <a:extLst>
            <a:ext uri="{FF2B5EF4-FFF2-40B4-BE49-F238E27FC236}">
              <a16:creationId xmlns:a16="http://schemas.microsoft.com/office/drawing/2014/main" id="{7CE1C1E2-3B53-4387-B887-4CD362D8148D}"/>
            </a:ext>
          </a:extLst>
        </xdr:cNvPr>
        <xdr:cNvSpPr txBox="1"/>
      </xdr:nvSpPr>
      <xdr:spPr>
        <a:xfrm>
          <a:off x="13811250" y="727096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(19)</a:t>
          </a:r>
        </a:p>
      </xdr:txBody>
    </xdr:sp>
    <xdr:clientData/>
  </xdr:twoCellAnchor>
  <xdr:twoCellAnchor>
    <xdr:from>
      <xdr:col>0</xdr:col>
      <xdr:colOff>0</xdr:colOff>
      <xdr:row>73</xdr:row>
      <xdr:rowOff>4446</xdr:rowOff>
    </xdr:from>
    <xdr:to>
      <xdr:col>0</xdr:col>
      <xdr:colOff>502920</xdr:colOff>
      <xdr:row>75</xdr:row>
      <xdr:rowOff>174838</xdr:rowOff>
    </xdr:to>
    <xdr:sp macro="" textlink="">
      <xdr:nvSpPr>
        <xdr:cNvPr id="48" name="ZoneTexte 47">
          <a:extLst>
            <a:ext uri="{FF2B5EF4-FFF2-40B4-BE49-F238E27FC236}">
              <a16:creationId xmlns:a16="http://schemas.microsoft.com/office/drawing/2014/main" id="{7D41A4FD-A47F-419C-A261-183667450393}"/>
            </a:ext>
          </a:extLst>
        </xdr:cNvPr>
        <xdr:cNvSpPr txBox="1"/>
      </xdr:nvSpPr>
      <xdr:spPr>
        <a:xfrm>
          <a:off x="0" y="13601913"/>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(20)</a:t>
          </a:r>
        </a:p>
      </xdr:txBody>
    </xdr:sp>
    <xdr:clientData/>
  </xdr:twoCellAnchor>
  <xdr:twoCellAnchor>
    <xdr:from>
      <xdr:col>17</xdr:col>
      <xdr:colOff>281517</xdr:colOff>
      <xdr:row>73</xdr:row>
      <xdr:rowOff>4446</xdr:rowOff>
    </xdr:from>
    <xdr:to>
      <xdr:col>17</xdr:col>
      <xdr:colOff>784437</xdr:colOff>
      <xdr:row>75</xdr:row>
      <xdr:rowOff>174838</xdr:rowOff>
    </xdr:to>
    <xdr:sp macro="" textlink="">
      <xdr:nvSpPr>
        <xdr:cNvPr id="49" name="ZoneTexte 48">
          <a:extLst>
            <a:ext uri="{FF2B5EF4-FFF2-40B4-BE49-F238E27FC236}">
              <a16:creationId xmlns:a16="http://schemas.microsoft.com/office/drawing/2014/main" id="{37F96588-395C-496D-9684-3CC518BF2B7A}"/>
            </a:ext>
          </a:extLst>
        </xdr:cNvPr>
        <xdr:cNvSpPr txBox="1"/>
      </xdr:nvSpPr>
      <xdr:spPr>
        <a:xfrm>
          <a:off x="13811250" y="13601913"/>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281940</xdr:colOff>
      <xdr:row>7</xdr:row>
      <xdr:rowOff>121920</xdr:rowOff>
    </xdr:from>
    <xdr:to>
      <xdr:col>5</xdr:col>
      <xdr:colOff>182880</xdr:colOff>
      <xdr:row>11</xdr:row>
      <xdr:rowOff>0</xdr:rowOff>
    </xdr:to>
    <xdr:grpSp>
      <xdr:nvGrpSpPr>
        <xdr:cNvPr id="23" name="Groupe 22">
          <a:extLst>
            <a:ext uri="{FF2B5EF4-FFF2-40B4-BE49-F238E27FC236}">
              <a16:creationId xmlns:a16="http://schemas.microsoft.com/office/drawing/2014/main" id="{539899B9-F80C-4318-9B8F-C1002C92E147}"/>
            </a:ext>
          </a:extLst>
        </xdr:cNvPr>
        <xdr:cNvGrpSpPr/>
      </xdr:nvGrpSpPr>
      <xdr:grpSpPr>
        <a:xfrm>
          <a:off x="281940" y="1455420"/>
          <a:ext cx="3758565" cy="640080"/>
          <a:chOff x="289560" y="3048000"/>
          <a:chExt cx="3863340" cy="609600"/>
        </a:xfrm>
      </xdr:grpSpPr>
      <xdr:sp macro="" textlink="">
        <xdr:nvSpPr>
          <xdr:cNvPr id="24" name="Rectangle : coins arrondis 23">
            <a:extLst>
              <a:ext uri="{FF2B5EF4-FFF2-40B4-BE49-F238E27FC236}">
                <a16:creationId xmlns:a16="http://schemas.microsoft.com/office/drawing/2014/main" id="{46E81364-2D1A-8309-78EB-ED72FDFC4759}"/>
              </a:ext>
            </a:extLst>
          </xdr:cNvPr>
          <xdr:cNvSpPr/>
        </xdr:nvSpPr>
        <xdr:spPr>
          <a:xfrm>
            <a:off x="367064" y="3107871"/>
            <a:ext cx="3785836" cy="471352"/>
          </a:xfrm>
          <a:prstGeom prst="roundRect">
            <a:avLst/>
          </a:prstGeom>
          <a:solidFill>
            <a:schemeClr val="accent1"/>
          </a:solidFill>
          <a:ln>
            <a:solidFill>
              <a:schemeClr val="accent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grpSp>
        <xdr:nvGrpSpPr>
          <xdr:cNvPr id="25" name="Groupe 24">
            <a:extLst>
              <a:ext uri="{FF2B5EF4-FFF2-40B4-BE49-F238E27FC236}">
                <a16:creationId xmlns:a16="http://schemas.microsoft.com/office/drawing/2014/main" id="{C15D83AD-C25F-8A38-F1CE-CA4A66B982BA}"/>
              </a:ext>
            </a:extLst>
          </xdr:cNvPr>
          <xdr:cNvGrpSpPr/>
        </xdr:nvGrpSpPr>
        <xdr:grpSpPr>
          <a:xfrm>
            <a:off x="289560" y="3048000"/>
            <a:ext cx="696685" cy="609600"/>
            <a:chOff x="620497" y="805544"/>
            <a:chExt cx="696685" cy="609600"/>
          </a:xfrm>
        </xdr:grpSpPr>
        <xdr:sp macro="" textlink="">
          <xdr:nvSpPr>
            <xdr:cNvPr id="26" name="Organigramme : Préparation 25">
              <a:extLst>
                <a:ext uri="{FF2B5EF4-FFF2-40B4-BE49-F238E27FC236}">
                  <a16:creationId xmlns:a16="http://schemas.microsoft.com/office/drawing/2014/main" id="{2476FC30-1F98-ECBF-DE70-67742957731B}"/>
                </a:ext>
              </a:extLst>
            </xdr:cNvPr>
            <xdr:cNvSpPr/>
          </xdr:nvSpPr>
          <xdr:spPr>
            <a:xfrm>
              <a:off x="620497" y="805544"/>
              <a:ext cx="696685" cy="609600"/>
            </a:xfrm>
            <a:prstGeom prst="flowChartPreparation">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27" name="Graphique 26" descr="Eau avec un remplissage uni">
              <a:extLst>
                <a:ext uri="{FF2B5EF4-FFF2-40B4-BE49-F238E27FC236}">
                  <a16:creationId xmlns:a16="http://schemas.microsoft.com/office/drawing/2014/main" id="{AE543845-66EA-24EF-3511-CEA1B94ADB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9343" y="870857"/>
              <a:ext cx="457199" cy="457199"/>
            </a:xfrm>
            <a:prstGeom prst="rect">
              <a:avLst/>
            </a:prstGeom>
          </xdr:spPr>
        </xdr:pic>
      </xdr:grpSp>
    </xdr:grpSp>
    <xdr:clientData/>
  </xdr:twoCellAnchor>
  <xdr:twoCellAnchor>
    <xdr:from>
      <xdr:col>13</xdr:col>
      <xdr:colOff>22860</xdr:colOff>
      <xdr:row>8</xdr:row>
      <xdr:rowOff>7620</xdr:rowOff>
    </xdr:from>
    <xdr:to>
      <xdr:col>17</xdr:col>
      <xdr:colOff>638778</xdr:colOff>
      <xdr:row>10</xdr:row>
      <xdr:rowOff>113212</xdr:rowOff>
    </xdr:to>
    <xdr:sp macro="" textlink="">
      <xdr:nvSpPr>
        <xdr:cNvPr id="29" name="Rectangle : coins arrondis 28">
          <a:hlinkClick xmlns:r="http://schemas.openxmlformats.org/officeDocument/2006/relationships" r:id="rId3"/>
          <a:extLst>
            <a:ext uri="{FF2B5EF4-FFF2-40B4-BE49-F238E27FC236}">
              <a16:creationId xmlns:a16="http://schemas.microsoft.com/office/drawing/2014/main" id="{C820371B-2FC6-4B1B-B299-E1D504BD684D}"/>
            </a:ext>
          </a:extLst>
        </xdr:cNvPr>
        <xdr:cNvSpPr/>
      </xdr:nvSpPr>
      <xdr:spPr>
        <a:xfrm>
          <a:off x="10325100" y="1470660"/>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a:t>
          </a:r>
          <a:r>
            <a:rPr lang="fr-FR" sz="1100" b="1" baseline="0"/>
            <a:t> ÉLECTRICITÉ</a:t>
          </a:r>
          <a:endParaRPr lang="fr-FR" sz="1100" b="1"/>
        </a:p>
      </xdr:txBody>
    </xdr:sp>
    <xdr:clientData/>
  </xdr:twoCellAnchor>
  <xdr:twoCellAnchor>
    <xdr:from>
      <xdr:col>5</xdr:col>
      <xdr:colOff>388620</xdr:colOff>
      <xdr:row>4</xdr:row>
      <xdr:rowOff>82731</xdr:rowOff>
    </xdr:from>
    <xdr:to>
      <xdr:col>12</xdr:col>
      <xdr:colOff>396240</xdr:colOff>
      <xdr:row>6</xdr:row>
      <xdr:rowOff>106680</xdr:rowOff>
    </xdr:to>
    <xdr:sp macro="" textlink="">
      <xdr:nvSpPr>
        <xdr:cNvPr id="3" name="Rectangle : coins arrondis 2">
          <a:extLst>
            <a:ext uri="{FF2B5EF4-FFF2-40B4-BE49-F238E27FC236}">
              <a16:creationId xmlns:a16="http://schemas.microsoft.com/office/drawing/2014/main" id="{6DB00F3E-7027-4209-95EF-30DC04576B3E}"/>
            </a:ext>
          </a:extLst>
        </xdr:cNvPr>
        <xdr:cNvSpPr/>
      </xdr:nvSpPr>
      <xdr:spPr>
        <a:xfrm>
          <a:off x="435102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TABLEAU</a:t>
          </a:r>
          <a:r>
            <a:rPr lang="fr-FR" sz="1800" b="1" baseline="0">
              <a:solidFill>
                <a:schemeClr val="bg1">
                  <a:lumMod val="50000"/>
                </a:schemeClr>
              </a:solidFill>
            </a:rPr>
            <a:t> DE BORD DES CONSOMMATIONS</a:t>
          </a:r>
          <a:endParaRPr lang="fr-FR" sz="1800" b="1">
            <a:solidFill>
              <a:schemeClr val="bg1">
                <a:lumMod val="50000"/>
              </a:schemeClr>
            </a:solidFill>
          </a:endParaRPr>
        </a:p>
      </xdr:txBody>
    </xdr:sp>
    <xdr:clientData/>
  </xdr:twoCellAnchor>
  <xdr:twoCellAnchor>
    <xdr:from>
      <xdr:col>6</xdr:col>
      <xdr:colOff>576943</xdr:colOff>
      <xdr:row>7</xdr:row>
      <xdr:rowOff>181791</xdr:rowOff>
    </xdr:from>
    <xdr:to>
      <xdr:col>11</xdr:col>
      <xdr:colOff>400381</xdr:colOff>
      <xdr:row>10</xdr:row>
      <xdr:rowOff>104503</xdr:rowOff>
    </xdr:to>
    <xdr:sp macro="" textlink="">
      <xdr:nvSpPr>
        <xdr:cNvPr id="4" name="Rectangle : coins arrondis 3">
          <a:hlinkClick xmlns:r="http://schemas.openxmlformats.org/officeDocument/2006/relationships" r:id="rId4"/>
          <a:extLst>
            <a:ext uri="{FF2B5EF4-FFF2-40B4-BE49-F238E27FC236}">
              <a16:creationId xmlns:a16="http://schemas.microsoft.com/office/drawing/2014/main" id="{B8BF0882-E3DA-4E1F-9246-3D229FE91376}"/>
            </a:ext>
          </a:extLst>
        </xdr:cNvPr>
        <xdr:cNvSpPr/>
      </xdr:nvSpPr>
      <xdr:spPr>
        <a:xfrm>
          <a:off x="5331823" y="1461951"/>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clientData/>
  </xdr:twoCellAnchor>
  <xdr:twoCellAnchor editAs="oneCell">
    <xdr:from>
      <xdr:col>0</xdr:col>
      <xdr:colOff>236220</xdr:colOff>
      <xdr:row>0</xdr:row>
      <xdr:rowOff>146376</xdr:rowOff>
    </xdr:from>
    <xdr:to>
      <xdr:col>1</xdr:col>
      <xdr:colOff>634274</xdr:colOff>
      <xdr:row>2</xdr:row>
      <xdr:rowOff>181049</xdr:rowOff>
    </xdr:to>
    <xdr:pic>
      <xdr:nvPicPr>
        <xdr:cNvPr id="5" name="Image 4" descr="Afficher l’image source">
          <a:extLst>
            <a:ext uri="{FF2B5EF4-FFF2-40B4-BE49-F238E27FC236}">
              <a16:creationId xmlns:a16="http://schemas.microsoft.com/office/drawing/2014/main" id="{917BBD5B-3B92-4AFD-BF57-E6EB32160B96}"/>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4556" t="12432" r="3758" b="14364"/>
        <a:stretch/>
      </xdr:blipFill>
      <xdr:spPr bwMode="auto">
        <a:xfrm>
          <a:off x="23622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512706</xdr:colOff>
      <xdr:row>0</xdr:row>
      <xdr:rowOff>0</xdr:rowOff>
    </xdr:from>
    <xdr:to>
      <xdr:col>17</xdr:col>
      <xdr:colOff>666002</xdr:colOff>
      <xdr:row>3</xdr:row>
      <xdr:rowOff>141642</xdr:rowOff>
    </xdr:to>
    <xdr:grpSp>
      <xdr:nvGrpSpPr>
        <xdr:cNvPr id="7" name="Groupe 6">
          <a:extLst>
            <a:ext uri="{FF2B5EF4-FFF2-40B4-BE49-F238E27FC236}">
              <a16:creationId xmlns:a16="http://schemas.microsoft.com/office/drawing/2014/main" id="{802A661E-D3E8-4681-BF8A-2D64BEC6C67F}"/>
            </a:ext>
          </a:extLst>
        </xdr:cNvPr>
        <xdr:cNvGrpSpPr/>
      </xdr:nvGrpSpPr>
      <xdr:grpSpPr>
        <a:xfrm>
          <a:off x="11314056" y="0"/>
          <a:ext cx="2467871" cy="713142"/>
          <a:chOff x="13193649" y="0"/>
          <a:chExt cx="2530736" cy="690282"/>
        </a:xfrm>
      </xdr:grpSpPr>
      <xdr:pic>
        <xdr:nvPicPr>
          <xdr:cNvPr id="8" name="Image 7">
            <a:extLst>
              <a:ext uri="{FF2B5EF4-FFF2-40B4-BE49-F238E27FC236}">
                <a16:creationId xmlns:a16="http://schemas.microsoft.com/office/drawing/2014/main" id="{6EA6E46C-54AF-E8C9-653C-5B03BAC8C25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9" name="Image 8">
            <a:extLst>
              <a:ext uri="{FF2B5EF4-FFF2-40B4-BE49-F238E27FC236}">
                <a16:creationId xmlns:a16="http://schemas.microsoft.com/office/drawing/2014/main" id="{12C63292-81DD-92A3-2552-05AC68EB066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388620</xdr:colOff>
      <xdr:row>11</xdr:row>
      <xdr:rowOff>67491</xdr:rowOff>
    </xdr:from>
    <xdr:to>
      <xdr:col>12</xdr:col>
      <xdr:colOff>396240</xdr:colOff>
      <xdr:row>13</xdr:row>
      <xdr:rowOff>91440</xdr:rowOff>
    </xdr:to>
    <xdr:sp macro="" textlink="">
      <xdr:nvSpPr>
        <xdr:cNvPr id="10" name="Rectangle : coins arrondis 9">
          <a:extLst>
            <a:ext uri="{FF2B5EF4-FFF2-40B4-BE49-F238E27FC236}">
              <a16:creationId xmlns:a16="http://schemas.microsoft.com/office/drawing/2014/main" id="{EA9ED7F5-8BA4-45AF-9293-77934BCF3B87}"/>
            </a:ext>
          </a:extLst>
        </xdr:cNvPr>
        <xdr:cNvSpPr/>
      </xdr:nvSpPr>
      <xdr:spPr>
        <a:xfrm>
          <a:off x="4351020" y="207917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Globale d'eau du site</a:t>
          </a:r>
          <a:endParaRPr lang="fr-FR" sz="1800" b="1">
            <a:solidFill>
              <a:schemeClr val="bg1">
                <a:lumMod val="50000"/>
              </a:schemeClr>
            </a:solidFill>
          </a:endParaRPr>
        </a:p>
      </xdr:txBody>
    </xdr:sp>
    <xdr:clientData/>
  </xdr:twoCellAnchor>
  <xdr:twoCellAnchor>
    <xdr:from>
      <xdr:col>15</xdr:col>
      <xdr:colOff>198120</xdr:colOff>
      <xdr:row>4</xdr:row>
      <xdr:rowOff>44631</xdr:rowOff>
    </xdr:from>
    <xdr:to>
      <xdr:col>17</xdr:col>
      <xdr:colOff>220980</xdr:colOff>
      <xdr:row>5</xdr:row>
      <xdr:rowOff>106680</xdr:rowOff>
    </xdr:to>
    <xdr:sp macro="" textlink="">
      <xdr:nvSpPr>
        <xdr:cNvPr id="11" name="Rectangle : coins arrondis 10">
          <a:extLst>
            <a:ext uri="{FF2B5EF4-FFF2-40B4-BE49-F238E27FC236}">
              <a16:creationId xmlns:a16="http://schemas.microsoft.com/office/drawing/2014/main" id="{52B7E5EB-5AE8-4D95-B84C-D1C68EF521CD}"/>
            </a:ext>
          </a:extLst>
        </xdr:cNvPr>
        <xdr:cNvSpPr/>
      </xdr:nvSpPr>
      <xdr:spPr>
        <a:xfrm>
          <a:off x="12085320" y="776151"/>
          <a:ext cx="160782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a:solidFill>
                <a:schemeClr val="bg1">
                  <a:lumMod val="50000"/>
                </a:schemeClr>
              </a:solidFill>
            </a:rPr>
            <a:t>Base</a:t>
          </a:r>
          <a:r>
            <a:rPr lang="fr-FR" sz="1500" b="1" baseline="0">
              <a:solidFill>
                <a:schemeClr val="bg1">
                  <a:lumMod val="50000"/>
                </a:schemeClr>
              </a:solidFill>
            </a:rPr>
            <a:t> de données </a:t>
          </a:r>
          <a:endParaRPr lang="fr-FR" sz="1500" b="1">
            <a:solidFill>
              <a:schemeClr val="bg1">
                <a:lumMod val="50000"/>
              </a:schemeClr>
            </a:solidFill>
          </a:endParaRPr>
        </a:p>
      </xdr:txBody>
    </xdr:sp>
    <xdr:clientData/>
  </xdr:twoCellAnchor>
  <xdr:twoCellAnchor editAs="oneCell">
    <xdr:from>
      <xdr:col>16</xdr:col>
      <xdr:colOff>656720</xdr:colOff>
      <xdr:row>4</xdr:row>
      <xdr:rowOff>146247</xdr:rowOff>
    </xdr:from>
    <xdr:to>
      <xdr:col>17</xdr:col>
      <xdr:colOff>240996</xdr:colOff>
      <xdr:row>6</xdr:row>
      <xdr:rowOff>157243</xdr:rowOff>
    </xdr:to>
    <xdr:pic>
      <xdr:nvPicPr>
        <xdr:cNvPr id="12" name="Graphique 11" descr="Flèche : incurvée dans le sens des aiguilles d’une montre avec un remplissage uni">
          <a:extLst>
            <a:ext uri="{FF2B5EF4-FFF2-40B4-BE49-F238E27FC236}">
              <a16:creationId xmlns:a16="http://schemas.microsoft.com/office/drawing/2014/main" id="{F119862E-4BFA-4988-BB4B-1D0C1724CCD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rot="7685067">
          <a:off x="13336400" y="877767"/>
          <a:ext cx="376756" cy="376756"/>
        </a:xfrm>
        <a:prstGeom prst="rect">
          <a:avLst/>
        </a:prstGeom>
      </xdr:spPr>
    </xdr:pic>
    <xdr:clientData/>
  </xdr:twoCellAnchor>
  <xdr:twoCellAnchor editAs="oneCell">
    <xdr:from>
      <xdr:col>17</xdr:col>
      <xdr:colOff>198120</xdr:colOff>
      <xdr:row>4</xdr:row>
      <xdr:rowOff>22860</xdr:rowOff>
    </xdr:from>
    <xdr:to>
      <xdr:col>17</xdr:col>
      <xdr:colOff>698640</xdr:colOff>
      <xdr:row>6</xdr:row>
      <xdr:rowOff>157620</xdr:rowOff>
    </xdr:to>
    <xdr:pic>
      <xdr:nvPicPr>
        <xdr:cNvPr id="31" name="Graphique 30" descr="Engrenage avec un remplissage uni">
          <a:hlinkClick xmlns:r="http://schemas.openxmlformats.org/officeDocument/2006/relationships" r:id="rId10"/>
          <a:extLst>
            <a:ext uri="{FF2B5EF4-FFF2-40B4-BE49-F238E27FC236}">
              <a16:creationId xmlns:a16="http://schemas.microsoft.com/office/drawing/2014/main" id="{B037CC1B-2C8E-4859-BDB1-D93F8EA3FDA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670280" y="754380"/>
          <a:ext cx="500520" cy="500520"/>
        </a:xfrm>
        <a:prstGeom prst="rect">
          <a:avLst/>
        </a:prstGeom>
      </xdr:spPr>
    </xdr:pic>
    <xdr:clientData/>
  </xdr:twoCellAnchor>
  <xdr:twoCellAnchor editAs="oneCell">
    <xdr:from>
      <xdr:col>7</xdr:col>
      <xdr:colOff>426720</xdr:colOff>
      <xdr:row>24</xdr:row>
      <xdr:rowOff>175260</xdr:rowOff>
    </xdr:from>
    <xdr:to>
      <xdr:col>10</xdr:col>
      <xdr:colOff>335280</xdr:colOff>
      <xdr:row>35</xdr:row>
      <xdr:rowOff>175259</xdr:rowOff>
    </xdr:to>
    <mc:AlternateContent xmlns:mc="http://schemas.openxmlformats.org/markup-compatibility/2006" xmlns:a14="http://schemas.microsoft.com/office/drawing/2010/main">
      <mc:Choice Requires="a14">
        <xdr:graphicFrame macro="">
          <xdr:nvGraphicFramePr>
            <xdr:cNvPr id="21" name="MOIS 1">
              <a:extLst>
                <a:ext uri="{FF2B5EF4-FFF2-40B4-BE49-F238E27FC236}">
                  <a16:creationId xmlns:a16="http://schemas.microsoft.com/office/drawing/2014/main" id="{55805028-A9D0-4146-AF71-48DCBD3E2C9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MOIS 1"/>
            </a:graphicData>
          </a:graphic>
        </xdr:graphicFrame>
      </mc:Choice>
      <mc:Fallback xmlns="">
        <xdr:sp macro="" textlink="">
          <xdr:nvSpPr>
            <xdr:cNvPr id="0" name=""/>
            <xdr:cNvSpPr>
              <a:spLocks noTextEdit="1"/>
            </xdr:cNvSpPr>
          </xdr:nvSpPr>
          <xdr:spPr>
            <a:xfrm>
              <a:off x="5974080" y="4564380"/>
              <a:ext cx="2286000" cy="2011679"/>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editAs="oneCell">
    <xdr:from>
      <xdr:col>7</xdr:col>
      <xdr:colOff>441960</xdr:colOff>
      <xdr:row>14</xdr:row>
      <xdr:rowOff>99060</xdr:rowOff>
    </xdr:from>
    <xdr:to>
      <xdr:col>10</xdr:col>
      <xdr:colOff>342900</xdr:colOff>
      <xdr:row>24</xdr:row>
      <xdr:rowOff>114299</xdr:rowOff>
    </xdr:to>
    <mc:AlternateContent xmlns:mc="http://schemas.openxmlformats.org/markup-compatibility/2006" xmlns:a14="http://schemas.microsoft.com/office/drawing/2010/main">
      <mc:Choice Requires="a14">
        <xdr:graphicFrame macro="">
          <xdr:nvGraphicFramePr>
            <xdr:cNvPr id="22" name="ANNÉE 1">
              <a:extLst>
                <a:ext uri="{FF2B5EF4-FFF2-40B4-BE49-F238E27FC236}">
                  <a16:creationId xmlns:a16="http://schemas.microsoft.com/office/drawing/2014/main" id="{0046E6D0-A2A6-48C7-9680-5B034AA58AA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NNÉE 1"/>
            </a:graphicData>
          </a:graphic>
        </xdr:graphicFrame>
      </mc:Choice>
      <mc:Fallback xmlns="">
        <xdr:sp macro="" textlink="">
          <xdr:nvSpPr>
            <xdr:cNvPr id="0" name=""/>
            <xdr:cNvSpPr>
              <a:spLocks noTextEdit="1"/>
            </xdr:cNvSpPr>
          </xdr:nvSpPr>
          <xdr:spPr>
            <a:xfrm>
              <a:off x="5989320" y="2659380"/>
              <a:ext cx="2278380" cy="1844039"/>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sont pris en charge dans Excel 2010 ou version ultérieure.
En revanche, si la forme a été modifiée dans une version précédente d’Excel, ou si le classeur a été enregistré dans Excel 2003 ou une version précédente, vous ne pouvez pas utiliser le segment.</a:t>
              </a:r>
            </a:p>
          </xdr:txBody>
        </xdr:sp>
      </mc:Fallback>
    </mc:AlternateContent>
    <xdr:clientData fLocksWithSheet="0"/>
  </xdr:twoCellAnchor>
  <xdr:twoCellAnchor>
    <xdr:from>
      <xdr:col>0</xdr:col>
      <xdr:colOff>0</xdr:colOff>
      <xdr:row>13</xdr:row>
      <xdr:rowOff>91440</xdr:rowOff>
    </xdr:from>
    <xdr:to>
      <xdr:col>7</xdr:col>
      <xdr:colOff>434340</xdr:colOff>
      <xdr:row>36</xdr:row>
      <xdr:rowOff>114300</xdr:rowOff>
    </xdr:to>
    <xdr:graphicFrame macro="">
      <xdr:nvGraphicFramePr>
        <xdr:cNvPr id="32" name="Evolution_conso_tot_EAU(8)">
          <a:extLst>
            <a:ext uri="{FF2B5EF4-FFF2-40B4-BE49-F238E27FC236}">
              <a16:creationId xmlns:a16="http://schemas.microsoft.com/office/drawing/2014/main" id="{7E65001E-BF35-4235-9ABC-A51ACED7E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365760</xdr:colOff>
      <xdr:row>13</xdr:row>
      <xdr:rowOff>129540</xdr:rowOff>
    </xdr:from>
    <xdr:to>
      <xdr:col>14</xdr:col>
      <xdr:colOff>556260</xdr:colOff>
      <xdr:row>36</xdr:row>
      <xdr:rowOff>83820</xdr:rowOff>
    </xdr:to>
    <xdr:graphicFrame macro="">
      <xdr:nvGraphicFramePr>
        <xdr:cNvPr id="33" name="Histo_conso_tot_EAU(9)">
          <a:extLst>
            <a:ext uri="{FF2B5EF4-FFF2-40B4-BE49-F238E27FC236}">
              <a16:creationId xmlns:a16="http://schemas.microsoft.com/office/drawing/2014/main" id="{76A69A5A-9A5B-4711-933E-2740BC80C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53340</xdr:colOff>
      <xdr:row>13</xdr:row>
      <xdr:rowOff>129540</xdr:rowOff>
    </xdr:from>
    <xdr:to>
      <xdr:col>17</xdr:col>
      <xdr:colOff>708660</xdr:colOff>
      <xdr:row>36</xdr:row>
      <xdr:rowOff>83820</xdr:rowOff>
    </xdr:to>
    <xdr:graphicFrame macro="">
      <xdr:nvGraphicFramePr>
        <xdr:cNvPr id="34" name="Histo_cout_conso_tot_EAU(10)">
          <a:extLst>
            <a:ext uri="{FF2B5EF4-FFF2-40B4-BE49-F238E27FC236}">
              <a16:creationId xmlns:a16="http://schemas.microsoft.com/office/drawing/2014/main" id="{4CB8D3CC-DF77-4F37-98E3-9F82BF84D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38</xdr:row>
      <xdr:rowOff>175260</xdr:rowOff>
    </xdr:from>
    <xdr:to>
      <xdr:col>9</xdr:col>
      <xdr:colOff>7620</xdr:colOff>
      <xdr:row>64</xdr:row>
      <xdr:rowOff>0</xdr:rowOff>
    </xdr:to>
    <xdr:graphicFrame macro="">
      <xdr:nvGraphicFramePr>
        <xdr:cNvPr id="35" name="Histo_conso_postes_EAU(11)">
          <a:extLst>
            <a:ext uri="{FF2B5EF4-FFF2-40B4-BE49-F238E27FC236}">
              <a16:creationId xmlns:a16="http://schemas.microsoft.com/office/drawing/2014/main" id="{7C5D19AA-C472-477C-A4ED-74D75B035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0</xdr:colOff>
      <xdr:row>39</xdr:row>
      <xdr:rowOff>0</xdr:rowOff>
    </xdr:from>
    <xdr:to>
      <xdr:col>18</xdr:col>
      <xdr:colOff>7620</xdr:colOff>
      <xdr:row>64</xdr:row>
      <xdr:rowOff>7620</xdr:rowOff>
    </xdr:to>
    <xdr:graphicFrame macro="">
      <xdr:nvGraphicFramePr>
        <xdr:cNvPr id="36" name="Histo_cout_conso_postes_EAU(12)">
          <a:extLst>
            <a:ext uri="{FF2B5EF4-FFF2-40B4-BE49-F238E27FC236}">
              <a16:creationId xmlns:a16="http://schemas.microsoft.com/office/drawing/2014/main" id="{2D80ACA3-E61C-4BEB-A523-CB778C1AE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72</xdr:row>
      <xdr:rowOff>163830</xdr:rowOff>
    </xdr:from>
    <xdr:to>
      <xdr:col>10</xdr:col>
      <xdr:colOff>662940</xdr:colOff>
      <xdr:row>105</xdr:row>
      <xdr:rowOff>7620</xdr:rowOff>
    </xdr:to>
    <xdr:graphicFrame macro="">
      <xdr:nvGraphicFramePr>
        <xdr:cNvPr id="37" name="Evolution_conso_postes_EAU(13)">
          <a:extLst>
            <a:ext uri="{FF2B5EF4-FFF2-40B4-BE49-F238E27FC236}">
              <a16:creationId xmlns:a16="http://schemas.microsoft.com/office/drawing/2014/main" id="{5CF28C78-CC9C-4885-934B-B242E4089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0</xdr:col>
      <xdr:colOff>144780</xdr:colOff>
      <xdr:row>65</xdr:row>
      <xdr:rowOff>137160</xdr:rowOff>
    </xdr:from>
    <xdr:to>
      <xdr:col>17</xdr:col>
      <xdr:colOff>708660</xdr:colOff>
      <xdr:row>71</xdr:row>
      <xdr:rowOff>137160</xdr:rowOff>
    </xdr:to>
    <mc:AlternateContent xmlns:mc="http://schemas.openxmlformats.org/markup-compatibility/2006" xmlns:tsle="http://schemas.microsoft.com/office/drawing/2012/timeslicer">
      <mc:Choice Requires="tsle">
        <xdr:graphicFrame macro="">
          <xdr:nvGraphicFramePr>
            <xdr:cNvPr id="38" name="Mois/Année  1">
              <a:extLst>
                <a:ext uri="{FF2B5EF4-FFF2-40B4-BE49-F238E27FC236}">
                  <a16:creationId xmlns:a16="http://schemas.microsoft.com/office/drawing/2014/main" id="{7A5872C0-2614-415A-A87D-1B04FEA433D6}"/>
                </a:ext>
              </a:extLst>
            </xdr:cNvPr>
            <xdr:cNvGraphicFramePr/>
          </xdr:nvGraphicFramePr>
          <xdr:xfrm>
            <a:off x="0" y="0"/>
            <a:ext cx="0" cy="0"/>
          </xdr:xfrm>
          <a:graphic>
            <a:graphicData uri="http://schemas.microsoft.com/office/drawing/2012/timeslicer">
              <tsle:timeslicer name="Mois/Année  1"/>
            </a:graphicData>
          </a:graphic>
        </xdr:graphicFrame>
      </mc:Choice>
      <mc:Fallback xmlns="">
        <xdr:sp macro="" textlink="">
          <xdr:nvSpPr>
            <xdr:cNvPr id="0" name=""/>
            <xdr:cNvSpPr>
              <a:spLocks noTextEdit="1"/>
            </xdr:cNvSpPr>
          </xdr:nvSpPr>
          <xdr:spPr>
            <a:xfrm>
              <a:off x="144780" y="12024360"/>
              <a:ext cx="14036040" cy="1097280"/>
            </a:xfrm>
            <a:prstGeom prst="rect">
              <a:avLst/>
            </a:prstGeom>
            <a:solidFill>
              <a:prstClr val="white"/>
            </a:solidFill>
            <a:ln w="1">
              <a:solidFill>
                <a:prstClr val="green"/>
              </a:solidFill>
            </a:ln>
          </xdr:spPr>
          <xdr:txBody>
            <a:bodyPr vertOverflow="clip" horzOverflow="clip"/>
            <a:lstStyle/>
            <a:p>
              <a:r>
                <a:rPr lang="fr-FR" sz="1100"/>
                <a:t>Chronologie : fonctionne dans Excel 2013 ou version ultérieure. Ne pas déplacer ou redimensionner.</a:t>
              </a:r>
            </a:p>
          </xdr:txBody>
        </xdr:sp>
      </mc:Fallback>
    </mc:AlternateContent>
    <xdr:clientData fLocksWithSheet="0"/>
  </xdr:twoCellAnchor>
  <xdr:twoCellAnchor>
    <xdr:from>
      <xdr:col>10</xdr:col>
      <xdr:colOff>655320</xdr:colOff>
      <xdr:row>72</xdr:row>
      <xdr:rowOff>175260</xdr:rowOff>
    </xdr:from>
    <xdr:to>
      <xdr:col>18</xdr:col>
      <xdr:colOff>0</xdr:colOff>
      <xdr:row>105</xdr:row>
      <xdr:rowOff>3810</xdr:rowOff>
    </xdr:to>
    <xdr:graphicFrame macro="">
      <xdr:nvGraphicFramePr>
        <xdr:cNvPr id="39" name="Secteur_conso_postes_EAU(14)">
          <a:extLst>
            <a:ext uri="{FF2B5EF4-FFF2-40B4-BE49-F238E27FC236}">
              <a16:creationId xmlns:a16="http://schemas.microsoft.com/office/drawing/2014/main" id="{B13D0D62-DFA0-4599-9A93-7C07E35076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236220</xdr:colOff>
      <xdr:row>36</xdr:row>
      <xdr:rowOff>97971</xdr:rowOff>
    </xdr:from>
    <xdr:to>
      <xdr:col>12</xdr:col>
      <xdr:colOff>243840</xdr:colOff>
      <xdr:row>38</xdr:row>
      <xdr:rowOff>121920</xdr:rowOff>
    </xdr:to>
    <xdr:sp macro="" textlink="">
      <xdr:nvSpPr>
        <xdr:cNvPr id="41" name="Rectangle : coins arrondis 40">
          <a:extLst>
            <a:ext uri="{FF2B5EF4-FFF2-40B4-BE49-F238E27FC236}">
              <a16:creationId xmlns:a16="http://schemas.microsoft.com/office/drawing/2014/main" id="{6262A2CA-D89A-4445-BD47-33596EB29543}"/>
            </a:ext>
          </a:extLst>
        </xdr:cNvPr>
        <xdr:cNvSpPr/>
      </xdr:nvSpPr>
      <xdr:spPr>
        <a:xfrm>
          <a:off x="4198620" y="66816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a:t>
          </a:r>
          <a:r>
            <a:rPr lang="fr-FR" sz="1800" b="1" baseline="0">
              <a:solidFill>
                <a:schemeClr val="bg1">
                  <a:lumMod val="50000"/>
                </a:schemeClr>
              </a:solidFill>
            </a:rPr>
            <a:t> totale d'eau par poste</a:t>
          </a:r>
          <a:endParaRPr lang="fr-FR" sz="1800" b="1">
            <a:solidFill>
              <a:schemeClr val="bg1">
                <a:lumMod val="50000"/>
              </a:schemeClr>
            </a:solidFill>
          </a:endParaRPr>
        </a:p>
      </xdr:txBody>
    </xdr:sp>
    <xdr:clientData/>
  </xdr:twoCellAnchor>
  <xdr:twoCellAnchor>
    <xdr:from>
      <xdr:col>5</xdr:col>
      <xdr:colOff>228600</xdr:colOff>
      <xdr:row>63</xdr:row>
      <xdr:rowOff>59871</xdr:rowOff>
    </xdr:from>
    <xdr:to>
      <xdr:col>12</xdr:col>
      <xdr:colOff>236220</xdr:colOff>
      <xdr:row>65</xdr:row>
      <xdr:rowOff>83820</xdr:rowOff>
    </xdr:to>
    <xdr:sp macro="" textlink="">
      <xdr:nvSpPr>
        <xdr:cNvPr id="42" name="Rectangle : coins arrondis 41">
          <a:extLst>
            <a:ext uri="{FF2B5EF4-FFF2-40B4-BE49-F238E27FC236}">
              <a16:creationId xmlns:a16="http://schemas.microsoft.com/office/drawing/2014/main" id="{F5CA9E04-E7A0-41B2-9C94-D8962DADB280}"/>
            </a:ext>
          </a:extLst>
        </xdr:cNvPr>
        <xdr:cNvSpPr/>
      </xdr:nvSpPr>
      <xdr:spPr>
        <a:xfrm>
          <a:off x="4191000" y="1158131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lumMod val="50000"/>
                </a:schemeClr>
              </a:solidFill>
            </a:rPr>
            <a:t>Consommation d'eau</a:t>
          </a:r>
          <a:r>
            <a:rPr lang="fr-FR" sz="1800" b="1" baseline="0">
              <a:solidFill>
                <a:schemeClr val="bg1">
                  <a:lumMod val="50000"/>
                </a:schemeClr>
              </a:solidFill>
            </a:rPr>
            <a:t> des postes par période</a:t>
          </a:r>
          <a:endParaRPr lang="fr-FR" sz="1800" b="1">
            <a:solidFill>
              <a:schemeClr val="bg1">
                <a:lumMod val="50000"/>
              </a:schemeClr>
            </a:solidFill>
          </a:endParaRPr>
        </a:p>
      </xdr:txBody>
    </xdr:sp>
    <xdr:clientData/>
  </xdr:twoCellAnchor>
  <xdr:twoCellAnchor>
    <xdr:from>
      <xdr:col>0</xdr:col>
      <xdr:colOff>0</xdr:colOff>
      <xdr:row>12</xdr:row>
      <xdr:rowOff>173355</xdr:rowOff>
    </xdr:from>
    <xdr:to>
      <xdr:col>0</xdr:col>
      <xdr:colOff>502920</xdr:colOff>
      <xdr:row>15</xdr:row>
      <xdr:rowOff>167640</xdr:rowOff>
    </xdr:to>
    <xdr:sp macro="" textlink="">
      <xdr:nvSpPr>
        <xdr:cNvPr id="43" name="ZoneTexte 42">
          <a:extLst>
            <a:ext uri="{FF2B5EF4-FFF2-40B4-BE49-F238E27FC236}">
              <a16:creationId xmlns:a16="http://schemas.microsoft.com/office/drawing/2014/main" id="{C1996BDF-295F-41A7-AB36-D729C508D36F}"/>
            </a:ext>
          </a:extLst>
        </xdr:cNvPr>
        <xdr:cNvSpPr txBox="1"/>
      </xdr:nvSpPr>
      <xdr:spPr>
        <a:xfrm>
          <a:off x="0" y="236791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(8)</a:t>
          </a:r>
        </a:p>
      </xdr:txBody>
    </xdr:sp>
    <xdr:clientData/>
  </xdr:twoCellAnchor>
  <xdr:twoCellAnchor>
    <xdr:from>
      <xdr:col>10</xdr:col>
      <xdr:colOff>407670</xdr:colOff>
      <xdr:row>13</xdr:row>
      <xdr:rowOff>81915</xdr:rowOff>
    </xdr:from>
    <xdr:to>
      <xdr:col>11</xdr:col>
      <xdr:colOff>116205</xdr:colOff>
      <xdr:row>16</xdr:row>
      <xdr:rowOff>76200</xdr:rowOff>
    </xdr:to>
    <xdr:sp macro="" textlink="">
      <xdr:nvSpPr>
        <xdr:cNvPr id="44" name="ZoneTexte 43">
          <a:extLst>
            <a:ext uri="{FF2B5EF4-FFF2-40B4-BE49-F238E27FC236}">
              <a16:creationId xmlns:a16="http://schemas.microsoft.com/office/drawing/2014/main" id="{B95E3843-7DB7-4266-84BD-3F21AEA170AD}"/>
            </a:ext>
          </a:extLst>
        </xdr:cNvPr>
        <xdr:cNvSpPr txBox="1"/>
      </xdr:nvSpPr>
      <xdr:spPr>
        <a:xfrm>
          <a:off x="8332470" y="2459355"/>
          <a:ext cx="50101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(9)</a:t>
          </a:r>
        </a:p>
      </xdr:txBody>
    </xdr:sp>
    <xdr:clientData/>
  </xdr:twoCellAnchor>
  <xdr:twoCellAnchor>
    <xdr:from>
      <xdr:col>17</xdr:col>
      <xdr:colOff>287655</xdr:colOff>
      <xdr:row>13</xdr:row>
      <xdr:rowOff>19050</xdr:rowOff>
    </xdr:from>
    <xdr:to>
      <xdr:col>17</xdr:col>
      <xdr:colOff>790575</xdr:colOff>
      <xdr:row>16</xdr:row>
      <xdr:rowOff>13335</xdr:rowOff>
    </xdr:to>
    <xdr:sp macro="" textlink="">
      <xdr:nvSpPr>
        <xdr:cNvPr id="45" name="ZoneTexte 44">
          <a:extLst>
            <a:ext uri="{FF2B5EF4-FFF2-40B4-BE49-F238E27FC236}">
              <a16:creationId xmlns:a16="http://schemas.microsoft.com/office/drawing/2014/main" id="{DE10BA73-F8FC-47F1-9B96-5CAC0D9453E5}"/>
            </a:ext>
          </a:extLst>
        </xdr:cNvPr>
        <xdr:cNvSpPr txBox="1"/>
      </xdr:nvSpPr>
      <xdr:spPr>
        <a:xfrm>
          <a:off x="13759815" y="239649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(10)</a:t>
          </a:r>
        </a:p>
      </xdr:txBody>
    </xdr:sp>
    <xdr:clientData/>
  </xdr:twoCellAnchor>
  <xdr:twoCellAnchor>
    <xdr:from>
      <xdr:col>0</xdr:col>
      <xdr:colOff>0</xdr:colOff>
      <xdr:row>38</xdr:row>
      <xdr:rowOff>19050</xdr:rowOff>
    </xdr:from>
    <xdr:to>
      <xdr:col>0</xdr:col>
      <xdr:colOff>502920</xdr:colOff>
      <xdr:row>41</xdr:row>
      <xdr:rowOff>13335</xdr:rowOff>
    </xdr:to>
    <xdr:sp macro="" textlink="">
      <xdr:nvSpPr>
        <xdr:cNvPr id="46" name="ZoneTexte 45">
          <a:extLst>
            <a:ext uri="{FF2B5EF4-FFF2-40B4-BE49-F238E27FC236}">
              <a16:creationId xmlns:a16="http://schemas.microsoft.com/office/drawing/2014/main" id="{E656085D-EA4F-4277-99F8-5F1EB9D74A7A}"/>
            </a:ext>
          </a:extLst>
        </xdr:cNvPr>
        <xdr:cNvSpPr txBox="1"/>
      </xdr:nvSpPr>
      <xdr:spPr>
        <a:xfrm>
          <a:off x="0" y="6968490"/>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(11)</a:t>
          </a:r>
        </a:p>
      </xdr:txBody>
    </xdr:sp>
    <xdr:clientData/>
  </xdr:twoCellAnchor>
  <xdr:twoCellAnchor>
    <xdr:from>
      <xdr:col>17</xdr:col>
      <xdr:colOff>323850</xdr:colOff>
      <xdr:row>38</xdr:row>
      <xdr:rowOff>36195</xdr:rowOff>
    </xdr:from>
    <xdr:to>
      <xdr:col>18</xdr:col>
      <xdr:colOff>34290</xdr:colOff>
      <xdr:row>41</xdr:row>
      <xdr:rowOff>30480</xdr:rowOff>
    </xdr:to>
    <xdr:sp macro="" textlink="">
      <xdr:nvSpPr>
        <xdr:cNvPr id="47" name="ZoneTexte 46">
          <a:extLst>
            <a:ext uri="{FF2B5EF4-FFF2-40B4-BE49-F238E27FC236}">
              <a16:creationId xmlns:a16="http://schemas.microsoft.com/office/drawing/2014/main" id="{9F691A90-80A6-4F87-AABE-84B2C7568C56}"/>
            </a:ext>
          </a:extLst>
        </xdr:cNvPr>
        <xdr:cNvSpPr txBox="1"/>
      </xdr:nvSpPr>
      <xdr:spPr>
        <a:xfrm>
          <a:off x="13796010" y="698563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(12)</a:t>
          </a:r>
        </a:p>
      </xdr:txBody>
    </xdr:sp>
    <xdr:clientData/>
  </xdr:twoCellAnchor>
  <xdr:twoCellAnchor>
    <xdr:from>
      <xdr:col>0</xdr:col>
      <xdr:colOff>0</xdr:colOff>
      <xdr:row>72</xdr:row>
      <xdr:rowOff>161925</xdr:rowOff>
    </xdr:from>
    <xdr:to>
      <xdr:col>0</xdr:col>
      <xdr:colOff>502920</xdr:colOff>
      <xdr:row>75</xdr:row>
      <xdr:rowOff>156210</xdr:rowOff>
    </xdr:to>
    <xdr:sp macro="" textlink="">
      <xdr:nvSpPr>
        <xdr:cNvPr id="48" name="ZoneTexte 47">
          <a:extLst>
            <a:ext uri="{FF2B5EF4-FFF2-40B4-BE49-F238E27FC236}">
              <a16:creationId xmlns:a16="http://schemas.microsoft.com/office/drawing/2014/main" id="{61574BF2-09BA-42F2-B540-ACA05245218B}"/>
            </a:ext>
          </a:extLst>
        </xdr:cNvPr>
        <xdr:cNvSpPr txBox="1"/>
      </xdr:nvSpPr>
      <xdr:spPr>
        <a:xfrm>
          <a:off x="0" y="1332928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(13)</a:t>
          </a:r>
        </a:p>
      </xdr:txBody>
    </xdr:sp>
    <xdr:clientData/>
  </xdr:twoCellAnchor>
  <xdr:twoCellAnchor>
    <xdr:from>
      <xdr:col>17</xdr:col>
      <xdr:colOff>323850</xdr:colOff>
      <xdr:row>72</xdr:row>
      <xdr:rowOff>154305</xdr:rowOff>
    </xdr:from>
    <xdr:to>
      <xdr:col>18</xdr:col>
      <xdr:colOff>34290</xdr:colOff>
      <xdr:row>75</xdr:row>
      <xdr:rowOff>148590</xdr:rowOff>
    </xdr:to>
    <xdr:sp macro="" textlink="">
      <xdr:nvSpPr>
        <xdr:cNvPr id="49" name="ZoneTexte 48">
          <a:extLst>
            <a:ext uri="{FF2B5EF4-FFF2-40B4-BE49-F238E27FC236}">
              <a16:creationId xmlns:a16="http://schemas.microsoft.com/office/drawing/2014/main" id="{2473D893-214C-49D9-98ED-DF4D09F0AEA6}"/>
            </a:ext>
          </a:extLst>
        </xdr:cNvPr>
        <xdr:cNvSpPr txBox="1"/>
      </xdr:nvSpPr>
      <xdr:spPr>
        <a:xfrm>
          <a:off x="13796010" y="13321665"/>
          <a:ext cx="50292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(14)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1988820</xdr:colOff>
      <xdr:row>7</xdr:row>
      <xdr:rowOff>15240</xdr:rowOff>
    </xdr:from>
    <xdr:to>
      <xdr:col>22</xdr:col>
      <xdr:colOff>1965960</xdr:colOff>
      <xdr:row>13</xdr:row>
      <xdr:rowOff>15240</xdr:rowOff>
    </xdr:to>
    <xdr:grpSp>
      <xdr:nvGrpSpPr>
        <xdr:cNvPr id="6" name="Groupe 5">
          <a:hlinkClick xmlns:r="http://schemas.openxmlformats.org/officeDocument/2006/relationships" r:id="rId1"/>
          <a:extLst>
            <a:ext uri="{FF2B5EF4-FFF2-40B4-BE49-F238E27FC236}">
              <a16:creationId xmlns:a16="http://schemas.microsoft.com/office/drawing/2014/main" id="{9213AAE5-FB85-4667-B2C1-623E3D7145D2}"/>
            </a:ext>
          </a:extLst>
        </xdr:cNvPr>
        <xdr:cNvGrpSpPr/>
      </xdr:nvGrpSpPr>
      <xdr:grpSpPr>
        <a:xfrm>
          <a:off x="44565570" y="1348740"/>
          <a:ext cx="2025015" cy="1143000"/>
          <a:chOff x="46024800" y="1188720"/>
          <a:chExt cx="2087880" cy="1097280"/>
        </a:xfrm>
      </xdr:grpSpPr>
      <xdr:sp macro="" textlink="">
        <xdr:nvSpPr>
          <xdr:cNvPr id="7" name="ZoneTexte 6">
            <a:extLst>
              <a:ext uri="{FF2B5EF4-FFF2-40B4-BE49-F238E27FC236}">
                <a16:creationId xmlns:a16="http://schemas.microsoft.com/office/drawing/2014/main" id="{5CE9B2DA-4306-4B7C-5ADF-47335B36CB15}"/>
              </a:ext>
            </a:extLst>
          </xdr:cNvPr>
          <xdr:cNvSpPr txBox="1"/>
        </xdr:nvSpPr>
        <xdr:spPr>
          <a:xfrm>
            <a:off x="46024800" y="1562100"/>
            <a:ext cx="2087880" cy="723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solidFill>
                  <a:schemeClr val="tx1"/>
                </a:solidFill>
              </a:rPr>
              <a:t>Cliquez ici pour être redirigez afin d'entrée une estimation du coût de consommation</a:t>
            </a:r>
          </a:p>
          <a:p>
            <a:endParaRPr lang="fr-FR" sz="1100" baseline="0"/>
          </a:p>
        </xdr:txBody>
      </xdr:sp>
      <xdr:pic>
        <xdr:nvPicPr>
          <xdr:cNvPr id="8" name="Graphique 7" descr="Avertissement avec un remplissage uni">
            <a:extLst>
              <a:ext uri="{FF2B5EF4-FFF2-40B4-BE49-F238E27FC236}">
                <a16:creationId xmlns:a16="http://schemas.microsoft.com/office/drawing/2014/main" id="{9705EBBB-46A7-0A99-922F-AA2AA7E1DC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6893480" y="1188720"/>
            <a:ext cx="342900" cy="342900"/>
          </a:xfrm>
          <a:prstGeom prst="rect">
            <a:avLst/>
          </a:prstGeom>
        </xdr:spPr>
      </xdr:pic>
    </xdr:grpSp>
    <xdr:clientData/>
  </xdr:twoCellAnchor>
  <xdr:twoCellAnchor>
    <xdr:from>
      <xdr:col>0</xdr:col>
      <xdr:colOff>365760</xdr:colOff>
      <xdr:row>8</xdr:row>
      <xdr:rowOff>0</xdr:rowOff>
    </xdr:from>
    <xdr:to>
      <xdr:col>2</xdr:col>
      <xdr:colOff>389345</xdr:colOff>
      <xdr:row>10</xdr:row>
      <xdr:rowOff>106681</xdr:rowOff>
    </xdr:to>
    <xdr:sp macro="" textlink="">
      <xdr:nvSpPr>
        <xdr:cNvPr id="9" name="Rectangle : coins arrondis 8">
          <a:hlinkClick xmlns:r="http://schemas.openxmlformats.org/officeDocument/2006/relationships" r:id="rId4"/>
          <a:extLst>
            <a:ext uri="{FF2B5EF4-FFF2-40B4-BE49-F238E27FC236}">
              <a16:creationId xmlns:a16="http://schemas.microsoft.com/office/drawing/2014/main" id="{3594425D-0498-4B77-A461-1EA4038FA998}"/>
            </a:ext>
          </a:extLst>
        </xdr:cNvPr>
        <xdr:cNvSpPr/>
      </xdr:nvSpPr>
      <xdr:spPr>
        <a:xfrm>
          <a:off x="365760" y="1463040"/>
          <a:ext cx="3795485" cy="472441"/>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clientData/>
  </xdr:twoCellAnchor>
  <xdr:twoCellAnchor>
    <xdr:from>
      <xdr:col>2</xdr:col>
      <xdr:colOff>586740</xdr:colOff>
      <xdr:row>4</xdr:row>
      <xdr:rowOff>82731</xdr:rowOff>
    </xdr:from>
    <xdr:to>
      <xdr:col>4</xdr:col>
      <xdr:colOff>1920240</xdr:colOff>
      <xdr:row>6</xdr:row>
      <xdr:rowOff>106680</xdr:rowOff>
    </xdr:to>
    <xdr:sp macro="" textlink="">
      <xdr:nvSpPr>
        <xdr:cNvPr id="10" name="Rectangle : coins arrondis 9">
          <a:extLst>
            <a:ext uri="{FF2B5EF4-FFF2-40B4-BE49-F238E27FC236}">
              <a16:creationId xmlns:a16="http://schemas.microsoft.com/office/drawing/2014/main" id="{30F52014-A669-432D-B56F-699B5D675318}"/>
            </a:ext>
          </a:extLst>
        </xdr:cNvPr>
        <xdr:cNvSpPr/>
      </xdr:nvSpPr>
      <xdr:spPr>
        <a:xfrm>
          <a:off x="435864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chemeClr val="bg1">
                  <a:lumMod val="50000"/>
                </a:schemeClr>
              </a:solidFill>
            </a:rPr>
            <a:t>BASE DE DONNÉES DES CONSOMMATIONS</a:t>
          </a:r>
          <a:endParaRPr lang="fr-FR" sz="1800" b="1">
            <a:solidFill>
              <a:schemeClr val="bg1">
                <a:lumMod val="50000"/>
              </a:schemeClr>
            </a:solidFill>
          </a:endParaRPr>
        </a:p>
      </xdr:txBody>
    </xdr:sp>
    <xdr:clientData/>
  </xdr:twoCellAnchor>
  <xdr:twoCellAnchor>
    <xdr:from>
      <xdr:col>2</xdr:col>
      <xdr:colOff>1567543</xdr:colOff>
      <xdr:row>7</xdr:row>
      <xdr:rowOff>181791</xdr:rowOff>
    </xdr:from>
    <xdr:to>
      <xdr:col>4</xdr:col>
      <xdr:colOff>1131901</xdr:colOff>
      <xdr:row>10</xdr:row>
      <xdr:rowOff>104503</xdr:rowOff>
    </xdr:to>
    <xdr:sp macro="" textlink="">
      <xdr:nvSpPr>
        <xdr:cNvPr id="11" name="Rectangle : coins arrondis 10">
          <a:hlinkClick xmlns:r="http://schemas.openxmlformats.org/officeDocument/2006/relationships" r:id="rId5"/>
          <a:extLst>
            <a:ext uri="{FF2B5EF4-FFF2-40B4-BE49-F238E27FC236}">
              <a16:creationId xmlns:a16="http://schemas.microsoft.com/office/drawing/2014/main" id="{2D74AE30-2379-4C2D-8C7F-ED8E644122BE}"/>
            </a:ext>
          </a:extLst>
        </xdr:cNvPr>
        <xdr:cNvSpPr/>
      </xdr:nvSpPr>
      <xdr:spPr>
        <a:xfrm>
          <a:off x="5339443" y="1461951"/>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clientData/>
  </xdr:twoCellAnchor>
  <xdr:twoCellAnchor editAs="oneCell">
    <xdr:from>
      <xdr:col>0</xdr:col>
      <xdr:colOff>243840</xdr:colOff>
      <xdr:row>0</xdr:row>
      <xdr:rowOff>146376</xdr:rowOff>
    </xdr:from>
    <xdr:to>
      <xdr:col>1</xdr:col>
      <xdr:colOff>116114</xdr:colOff>
      <xdr:row>2</xdr:row>
      <xdr:rowOff>181049</xdr:rowOff>
    </xdr:to>
    <xdr:pic>
      <xdr:nvPicPr>
        <xdr:cNvPr id="12" name="Image 11" descr="Afficher l’image source">
          <a:extLst>
            <a:ext uri="{FF2B5EF4-FFF2-40B4-BE49-F238E27FC236}">
              <a16:creationId xmlns:a16="http://schemas.microsoft.com/office/drawing/2014/main" id="{01C56990-C5C9-4977-A818-85A35226EF28}"/>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4556" t="12432" r="3758" b="14364"/>
        <a:stretch/>
      </xdr:blipFill>
      <xdr:spPr bwMode="auto">
        <a:xfrm>
          <a:off x="24384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1510926</xdr:colOff>
      <xdr:row>0</xdr:row>
      <xdr:rowOff>0</xdr:rowOff>
    </xdr:from>
    <xdr:to>
      <xdr:col>6</xdr:col>
      <xdr:colOff>1930922</xdr:colOff>
      <xdr:row>3</xdr:row>
      <xdr:rowOff>141642</xdr:rowOff>
    </xdr:to>
    <xdr:grpSp>
      <xdr:nvGrpSpPr>
        <xdr:cNvPr id="14" name="Groupe 13">
          <a:extLst>
            <a:ext uri="{FF2B5EF4-FFF2-40B4-BE49-F238E27FC236}">
              <a16:creationId xmlns:a16="http://schemas.microsoft.com/office/drawing/2014/main" id="{79ED0BC3-D7C7-4E9D-9146-9806F7762A99}"/>
            </a:ext>
          </a:extLst>
        </xdr:cNvPr>
        <xdr:cNvGrpSpPr/>
      </xdr:nvGrpSpPr>
      <xdr:grpSpPr>
        <a:xfrm>
          <a:off x="11321676" y="0"/>
          <a:ext cx="2467871" cy="713142"/>
          <a:chOff x="13193649" y="0"/>
          <a:chExt cx="2530736" cy="690282"/>
        </a:xfrm>
      </xdr:grpSpPr>
      <xdr:pic>
        <xdr:nvPicPr>
          <xdr:cNvPr id="15" name="Image 14">
            <a:extLst>
              <a:ext uri="{FF2B5EF4-FFF2-40B4-BE49-F238E27FC236}">
                <a16:creationId xmlns:a16="http://schemas.microsoft.com/office/drawing/2014/main" id="{CFECDF8E-7A35-6169-5D59-FA6C0A57BBE6}"/>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16" name="Image 15">
            <a:extLst>
              <a:ext uri="{FF2B5EF4-FFF2-40B4-BE49-F238E27FC236}">
                <a16:creationId xmlns:a16="http://schemas.microsoft.com/office/drawing/2014/main" id="{70B5AC4F-B243-8F83-DCF8-6CA6657E1C3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1272540</xdr:colOff>
      <xdr:row>4</xdr:row>
      <xdr:rowOff>44631</xdr:rowOff>
    </xdr:from>
    <xdr:to>
      <xdr:col>6</xdr:col>
      <xdr:colOff>1485900</xdr:colOff>
      <xdr:row>5</xdr:row>
      <xdr:rowOff>106680</xdr:rowOff>
    </xdr:to>
    <xdr:sp macro="" textlink="">
      <xdr:nvSpPr>
        <xdr:cNvPr id="18" name="Rectangle : coins arrondis 17">
          <a:extLst>
            <a:ext uri="{FF2B5EF4-FFF2-40B4-BE49-F238E27FC236}">
              <a16:creationId xmlns:a16="http://schemas.microsoft.com/office/drawing/2014/main" id="{45A5F3E8-AB41-4AB6-9692-C571E7E0E6EB}"/>
            </a:ext>
          </a:extLst>
        </xdr:cNvPr>
        <xdr:cNvSpPr/>
      </xdr:nvSpPr>
      <xdr:spPr>
        <a:xfrm>
          <a:off x="11376660" y="776151"/>
          <a:ext cx="232410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baseline="0">
              <a:solidFill>
                <a:schemeClr val="bg1">
                  <a:lumMod val="50000"/>
                </a:schemeClr>
              </a:solidFill>
            </a:rPr>
            <a:t>Retour au tableau de bord </a:t>
          </a:r>
          <a:endParaRPr lang="fr-FR" sz="1500" b="1">
            <a:solidFill>
              <a:schemeClr val="bg1">
                <a:lumMod val="50000"/>
              </a:schemeClr>
            </a:solidFill>
          </a:endParaRPr>
        </a:p>
      </xdr:txBody>
    </xdr:sp>
    <xdr:clientData/>
  </xdr:twoCellAnchor>
  <xdr:twoCellAnchor editAs="oneCell">
    <xdr:from>
      <xdr:col>6</xdr:col>
      <xdr:colOff>1129160</xdr:colOff>
      <xdr:row>4</xdr:row>
      <xdr:rowOff>146247</xdr:rowOff>
    </xdr:from>
    <xdr:to>
      <xdr:col>6</xdr:col>
      <xdr:colOff>1505916</xdr:colOff>
      <xdr:row>6</xdr:row>
      <xdr:rowOff>157243</xdr:rowOff>
    </xdr:to>
    <xdr:pic>
      <xdr:nvPicPr>
        <xdr:cNvPr id="19" name="Graphique 18" descr="Flèche : incurvée dans le sens des aiguilles d’une montre avec un remplissage uni">
          <a:extLst>
            <a:ext uri="{FF2B5EF4-FFF2-40B4-BE49-F238E27FC236}">
              <a16:creationId xmlns:a16="http://schemas.microsoft.com/office/drawing/2014/main" id="{A7A0581B-40B7-494B-AAC3-0B48DEAE988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rot="7685067">
          <a:off x="13344020" y="877767"/>
          <a:ext cx="376756" cy="376756"/>
        </a:xfrm>
        <a:prstGeom prst="rect">
          <a:avLst/>
        </a:prstGeom>
      </xdr:spPr>
    </xdr:pic>
    <xdr:clientData/>
  </xdr:twoCellAnchor>
  <xdr:twoCellAnchor>
    <xdr:from>
      <xdr:col>5</xdr:col>
      <xdr:colOff>137160</xdr:colOff>
      <xdr:row>7</xdr:row>
      <xdr:rowOff>121920</xdr:rowOff>
    </xdr:from>
    <xdr:to>
      <xdr:col>6</xdr:col>
      <xdr:colOff>1901733</xdr:colOff>
      <xdr:row>10</xdr:row>
      <xdr:rowOff>171995</xdr:rowOff>
    </xdr:to>
    <xdr:grpSp>
      <xdr:nvGrpSpPr>
        <xdr:cNvPr id="20" name="Groupe 19">
          <a:extLst>
            <a:ext uri="{FF2B5EF4-FFF2-40B4-BE49-F238E27FC236}">
              <a16:creationId xmlns:a16="http://schemas.microsoft.com/office/drawing/2014/main" id="{49FFA7CE-77D2-4455-B912-15DB14C7A4C3}"/>
            </a:ext>
          </a:extLst>
        </xdr:cNvPr>
        <xdr:cNvGrpSpPr/>
      </xdr:nvGrpSpPr>
      <xdr:grpSpPr>
        <a:xfrm>
          <a:off x="9947910" y="1455420"/>
          <a:ext cx="3812448" cy="621575"/>
          <a:chOff x="10233660" y="1402080"/>
          <a:chExt cx="3875313" cy="598715"/>
        </a:xfrm>
      </xdr:grpSpPr>
      <xdr:sp macro="" textlink="">
        <xdr:nvSpPr>
          <xdr:cNvPr id="21" name="Rectangle : coins arrondis 20">
            <a:extLst>
              <a:ext uri="{FF2B5EF4-FFF2-40B4-BE49-F238E27FC236}">
                <a16:creationId xmlns:a16="http://schemas.microsoft.com/office/drawing/2014/main" id="{B8A65A77-5CB4-3280-6733-845B10DB3EA7}"/>
              </a:ext>
            </a:extLst>
          </xdr:cNvPr>
          <xdr:cNvSpPr/>
        </xdr:nvSpPr>
        <xdr:spPr>
          <a:xfrm>
            <a:off x="10325100" y="1471846"/>
            <a:ext cx="3783873" cy="462936"/>
          </a:xfrm>
          <a:prstGeom prst="round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t>CONSOMMATION ELECTRICITE</a:t>
            </a:r>
          </a:p>
        </xdr:txBody>
      </xdr:sp>
      <xdr:grpSp>
        <xdr:nvGrpSpPr>
          <xdr:cNvPr id="22" name="Groupe 21">
            <a:extLst>
              <a:ext uri="{FF2B5EF4-FFF2-40B4-BE49-F238E27FC236}">
                <a16:creationId xmlns:a16="http://schemas.microsoft.com/office/drawing/2014/main" id="{19A851FB-08C2-A5C8-E6D8-47448CD74F7F}"/>
              </a:ext>
            </a:extLst>
          </xdr:cNvPr>
          <xdr:cNvGrpSpPr/>
        </xdr:nvGrpSpPr>
        <xdr:grpSpPr>
          <a:xfrm>
            <a:off x="10233660" y="1402080"/>
            <a:ext cx="692447" cy="598715"/>
            <a:chOff x="7924800" y="3108960"/>
            <a:chExt cx="692447" cy="598715"/>
          </a:xfrm>
        </xdr:grpSpPr>
        <xdr:sp macro="" textlink="">
          <xdr:nvSpPr>
            <xdr:cNvPr id="23" name="Organigramme : Préparation 22">
              <a:extLst>
                <a:ext uri="{FF2B5EF4-FFF2-40B4-BE49-F238E27FC236}">
                  <a16:creationId xmlns:a16="http://schemas.microsoft.com/office/drawing/2014/main" id="{80197036-AF2A-DBB0-19BC-D20F92E8B039}"/>
                </a:ext>
              </a:extLst>
            </xdr:cNvPr>
            <xdr:cNvSpPr/>
          </xdr:nvSpPr>
          <xdr:spPr>
            <a:xfrm>
              <a:off x="7924800" y="3108960"/>
              <a:ext cx="692447" cy="598715"/>
            </a:xfrm>
            <a:prstGeom prst="flowChartPreparation">
              <a:avLst/>
            </a:prstGeom>
            <a:solidFill>
              <a:schemeClr val="bg1"/>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24" name="Graphique 1" descr="Éclair avec un remplissage uni">
              <a:extLst>
                <a:ext uri="{FF2B5EF4-FFF2-40B4-BE49-F238E27FC236}">
                  <a16:creationId xmlns:a16="http://schemas.microsoft.com/office/drawing/2014/main" id="{779F3A5C-B5C1-EE01-0170-5DC79D62907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8022172" y="3173108"/>
              <a:ext cx="486877" cy="530595"/>
            </a:xfrm>
            <a:prstGeom prst="rect">
              <a:avLst/>
            </a:prstGeom>
          </xdr:spPr>
        </xdr:pic>
      </xdr:grpSp>
    </xdr:grpSp>
    <xdr:clientData/>
  </xdr:twoCellAnchor>
  <xdr:twoCellAnchor editAs="oneCell">
    <xdr:from>
      <xdr:col>6</xdr:col>
      <xdr:colOff>1516379</xdr:colOff>
      <xdr:row>4</xdr:row>
      <xdr:rowOff>7620</xdr:rowOff>
    </xdr:from>
    <xdr:to>
      <xdr:col>6</xdr:col>
      <xdr:colOff>1910674</xdr:colOff>
      <xdr:row>6</xdr:row>
      <xdr:rowOff>129540</xdr:rowOff>
    </xdr:to>
    <xdr:pic>
      <xdr:nvPicPr>
        <xdr:cNvPr id="28" name="Graphique 27" descr="Statistiques avec un remplissage uni">
          <a:hlinkClick xmlns:r="http://schemas.openxmlformats.org/officeDocument/2006/relationships" r:id="rId13"/>
          <a:extLst>
            <a:ext uri="{FF2B5EF4-FFF2-40B4-BE49-F238E27FC236}">
              <a16:creationId xmlns:a16="http://schemas.microsoft.com/office/drawing/2014/main" id="{510C8702-316C-FA65-5FEF-84AEC430E710}"/>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rcRect l="23333" r="13333" b="21667"/>
        <a:stretch/>
      </xdr:blipFill>
      <xdr:spPr>
        <a:xfrm>
          <a:off x="13731239" y="739140"/>
          <a:ext cx="394295" cy="487680"/>
        </a:xfrm>
        <a:prstGeom prst="rect">
          <a:avLst/>
        </a:prstGeom>
      </xdr:spPr>
    </xdr:pic>
    <xdr:clientData/>
  </xdr:twoCellAnchor>
  <xdr:twoCellAnchor>
    <xdr:from>
      <xdr:col>46</xdr:col>
      <xdr:colOff>121920</xdr:colOff>
      <xdr:row>9</xdr:row>
      <xdr:rowOff>15240</xdr:rowOff>
    </xdr:from>
    <xdr:to>
      <xdr:col>49</xdr:col>
      <xdr:colOff>403860</xdr:colOff>
      <xdr:row>24</xdr:row>
      <xdr:rowOff>176604</xdr:rowOff>
    </xdr:to>
    <xdr:sp macro="" textlink="">
      <xdr:nvSpPr>
        <xdr:cNvPr id="25" name="ZoneTexte 24">
          <a:extLst>
            <a:ext uri="{FF2B5EF4-FFF2-40B4-BE49-F238E27FC236}">
              <a16:creationId xmlns:a16="http://schemas.microsoft.com/office/drawing/2014/main" id="{4A881278-E17F-41B0-AF46-8CF9C2D163B4}"/>
            </a:ext>
          </a:extLst>
        </xdr:cNvPr>
        <xdr:cNvSpPr txBox="1"/>
      </xdr:nvSpPr>
      <xdr:spPr>
        <a:xfrm>
          <a:off x="48219360" y="1661160"/>
          <a:ext cx="2659380" cy="29045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a:t>
          </a:r>
          <a:r>
            <a:rPr lang="fr-FR" sz="1100" b="1" baseline="0"/>
            <a:t> cellules coûts sont masquées, pour les afficher : </a:t>
          </a:r>
          <a:endParaRPr lang="fr-FR" sz="1100" b="1"/>
        </a:p>
        <a:p>
          <a:endParaRPr lang="fr-FR" sz="1100" b="1"/>
        </a:p>
        <a:p>
          <a:r>
            <a:rPr lang="fr-FR" sz="1100" b="1"/>
            <a:t>-</a:t>
          </a:r>
          <a:r>
            <a:rPr lang="fr-FR" sz="1100" b="0"/>
            <a:t>Sélectionnez les colonnes W à AU </a:t>
          </a:r>
        </a:p>
        <a:p>
          <a:r>
            <a:rPr lang="fr-FR" sz="1100" b="0"/>
            <a:t>-Effectuer</a:t>
          </a:r>
          <a:r>
            <a:rPr lang="fr-FR" sz="1100" b="0" baseline="0"/>
            <a:t> un clic droit</a:t>
          </a:r>
          <a:r>
            <a:rPr lang="fr-FR" sz="1100" b="0"/>
            <a:t> </a:t>
          </a:r>
        </a:p>
        <a:p>
          <a:r>
            <a:rPr lang="fr-FR" sz="1100" b="0"/>
            <a:t>-Cliquer</a:t>
          </a:r>
          <a:r>
            <a:rPr lang="fr-FR" sz="1100" b="0" baseline="0"/>
            <a:t> sur A</a:t>
          </a:r>
          <a:r>
            <a:rPr lang="fr-FR" sz="1100" b="0"/>
            <a:t>fficher</a:t>
          </a:r>
        </a:p>
        <a:p>
          <a:endParaRPr lang="fr-FR" sz="1100" b="1"/>
        </a:p>
        <a:p>
          <a:r>
            <a:rPr lang="fr-FR" sz="1100" b="1"/>
            <a:t>Masquer à nouveau les cellules, cela</a:t>
          </a:r>
          <a:r>
            <a:rPr lang="fr-FR" sz="1100" b="1" baseline="0"/>
            <a:t> permet de</a:t>
          </a:r>
          <a:r>
            <a:rPr lang="fr-FR" sz="1100" b="1"/>
            <a:t> protèger les formules d'une mauvaise manipulation lors du</a:t>
          </a:r>
          <a:r>
            <a:rPr lang="fr-FR" sz="1100" b="1" baseline="0"/>
            <a:t> remplissage de données </a:t>
          </a:r>
          <a:endParaRPr lang="fr-FR" sz="1100" b="1"/>
        </a:p>
        <a:p>
          <a:endParaRPr lang="fr-FR" sz="1100" b="1"/>
        </a:p>
        <a:p>
          <a:r>
            <a:rPr lang="fr-FR" sz="1100" b="0"/>
            <a:t>-Sélectionner les colonnes X à AT</a:t>
          </a:r>
        </a:p>
        <a:p>
          <a:r>
            <a:rPr lang="fr-FR" sz="1100" b="0"/>
            <a:t>-Effectuer</a:t>
          </a:r>
          <a:r>
            <a:rPr lang="fr-FR" sz="1100" b="0" baseline="0"/>
            <a:t> un clic droit </a:t>
          </a:r>
          <a:endParaRPr lang="fr-FR" sz="1100" b="0"/>
        </a:p>
        <a:p>
          <a:r>
            <a:rPr lang="fr-FR" sz="1100" b="0"/>
            <a:t>-Cliquer sur Masquer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1485900</xdr:colOff>
      <xdr:row>7</xdr:row>
      <xdr:rowOff>129540</xdr:rowOff>
    </xdr:from>
    <xdr:to>
      <xdr:col>4</xdr:col>
      <xdr:colOff>1130751</xdr:colOff>
      <xdr:row>10</xdr:row>
      <xdr:rowOff>168729</xdr:rowOff>
    </xdr:to>
    <xdr:grpSp>
      <xdr:nvGrpSpPr>
        <xdr:cNvPr id="26" name="Groupe 25">
          <a:extLst>
            <a:ext uri="{FF2B5EF4-FFF2-40B4-BE49-F238E27FC236}">
              <a16:creationId xmlns:a16="http://schemas.microsoft.com/office/drawing/2014/main" id="{995729AA-D23B-4099-9598-41A6281D8883}"/>
            </a:ext>
          </a:extLst>
        </xdr:cNvPr>
        <xdr:cNvGrpSpPr/>
      </xdr:nvGrpSpPr>
      <xdr:grpSpPr>
        <a:xfrm>
          <a:off x="5153025" y="1463040"/>
          <a:ext cx="3740601" cy="610689"/>
          <a:chOff x="5250176" y="3436620"/>
          <a:chExt cx="3866331" cy="587829"/>
        </a:xfrm>
      </xdr:grpSpPr>
      <xdr:sp macro="" textlink="">
        <xdr:nvSpPr>
          <xdr:cNvPr id="27" name="Rectangle : coins arrondis 26">
            <a:extLst>
              <a:ext uri="{FF2B5EF4-FFF2-40B4-BE49-F238E27FC236}">
                <a16:creationId xmlns:a16="http://schemas.microsoft.com/office/drawing/2014/main" id="{4F5E6AF8-7638-2927-5023-D352035E24B2}"/>
              </a:ext>
            </a:extLst>
          </xdr:cNvPr>
          <xdr:cNvSpPr/>
        </xdr:nvSpPr>
        <xdr:spPr>
          <a:xfrm>
            <a:off x="5326380" y="3497580"/>
            <a:ext cx="3790127" cy="454518"/>
          </a:xfrm>
          <a:prstGeom prst="roundRect">
            <a:avLst/>
          </a:prstGeom>
          <a:solidFill>
            <a:schemeClr val="accent2"/>
          </a:solidFill>
          <a:ln>
            <a:solidFill>
              <a:schemeClr val="accent2"/>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grpSp>
        <xdr:nvGrpSpPr>
          <xdr:cNvPr id="28" name="Groupe 27">
            <a:extLst>
              <a:ext uri="{FF2B5EF4-FFF2-40B4-BE49-F238E27FC236}">
                <a16:creationId xmlns:a16="http://schemas.microsoft.com/office/drawing/2014/main" id="{BEF1B0F1-279D-1EE6-F50C-738949306E20}"/>
              </a:ext>
            </a:extLst>
          </xdr:cNvPr>
          <xdr:cNvGrpSpPr/>
        </xdr:nvGrpSpPr>
        <xdr:grpSpPr>
          <a:xfrm>
            <a:off x="5250176" y="3436620"/>
            <a:ext cx="690922" cy="587829"/>
            <a:chOff x="5573490" y="805544"/>
            <a:chExt cx="696685" cy="609600"/>
          </a:xfrm>
        </xdr:grpSpPr>
        <xdr:sp macro="" textlink="">
          <xdr:nvSpPr>
            <xdr:cNvPr id="29" name="Organigramme : Préparation 28">
              <a:extLst>
                <a:ext uri="{FF2B5EF4-FFF2-40B4-BE49-F238E27FC236}">
                  <a16:creationId xmlns:a16="http://schemas.microsoft.com/office/drawing/2014/main" id="{30CF0E89-DB3E-9655-A838-22AB57F30434}"/>
                </a:ext>
              </a:extLst>
            </xdr:cNvPr>
            <xdr:cNvSpPr/>
          </xdr:nvSpPr>
          <xdr:spPr>
            <a:xfrm>
              <a:off x="5573490" y="805544"/>
              <a:ext cx="696685" cy="609600"/>
            </a:xfrm>
            <a:prstGeom prst="flowChartPreparation">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30" name="Graphique 29" descr="Feu avec un remplissage uni">
              <a:extLst>
                <a:ext uri="{FF2B5EF4-FFF2-40B4-BE49-F238E27FC236}">
                  <a16:creationId xmlns:a16="http://schemas.microsoft.com/office/drawing/2014/main" id="{7D614242-88A0-48A6-6871-D9F57EE80A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682343" y="859971"/>
              <a:ext cx="468085" cy="468085"/>
            </a:xfrm>
            <a:prstGeom prst="rect">
              <a:avLst/>
            </a:prstGeom>
          </xdr:spPr>
        </xdr:pic>
      </xdr:grpSp>
    </xdr:grpSp>
    <xdr:clientData/>
  </xdr:twoCellAnchor>
  <xdr:twoCellAnchor>
    <xdr:from>
      <xdr:col>5</xdr:col>
      <xdr:colOff>236224</xdr:colOff>
      <xdr:row>8</xdr:row>
      <xdr:rowOff>7620</xdr:rowOff>
    </xdr:from>
    <xdr:to>
      <xdr:col>6</xdr:col>
      <xdr:colOff>1911322</xdr:colOff>
      <xdr:row>10</xdr:row>
      <xdr:rowOff>113212</xdr:rowOff>
    </xdr:to>
    <xdr:sp macro="" textlink="">
      <xdr:nvSpPr>
        <xdr:cNvPr id="36" name="Rectangle : coins arrondis 35">
          <a:hlinkClick xmlns:r="http://schemas.openxmlformats.org/officeDocument/2006/relationships" r:id="rId3"/>
          <a:extLst>
            <a:ext uri="{FF2B5EF4-FFF2-40B4-BE49-F238E27FC236}">
              <a16:creationId xmlns:a16="http://schemas.microsoft.com/office/drawing/2014/main" id="{352DBB85-FE30-4F82-958A-3840E8615C31}"/>
            </a:ext>
          </a:extLst>
        </xdr:cNvPr>
        <xdr:cNvSpPr/>
      </xdr:nvSpPr>
      <xdr:spPr>
        <a:xfrm>
          <a:off x="10340344" y="1470660"/>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a:t>
          </a:r>
          <a:r>
            <a:rPr lang="fr-FR" sz="1100" b="1" baseline="0"/>
            <a:t> ÉLECTRICITÉ</a:t>
          </a:r>
          <a:endParaRPr lang="fr-FR" sz="1100" b="1"/>
        </a:p>
      </xdr:txBody>
    </xdr:sp>
    <xdr:clientData/>
  </xdr:twoCellAnchor>
  <xdr:twoCellAnchor>
    <xdr:from>
      <xdr:col>21</xdr:col>
      <xdr:colOff>2042160</xdr:colOff>
      <xdr:row>6</xdr:row>
      <xdr:rowOff>121920</xdr:rowOff>
    </xdr:from>
    <xdr:to>
      <xdr:col>22</xdr:col>
      <xdr:colOff>2019300</xdr:colOff>
      <xdr:row>12</xdr:row>
      <xdr:rowOff>121920</xdr:rowOff>
    </xdr:to>
    <xdr:grpSp>
      <xdr:nvGrpSpPr>
        <xdr:cNvPr id="5" name="Groupe 4">
          <a:hlinkClick xmlns:r="http://schemas.openxmlformats.org/officeDocument/2006/relationships" r:id="rId4"/>
          <a:extLst>
            <a:ext uri="{FF2B5EF4-FFF2-40B4-BE49-F238E27FC236}">
              <a16:creationId xmlns:a16="http://schemas.microsoft.com/office/drawing/2014/main" id="{11CE42D7-F40C-4AAE-B259-F24F594D35AB}"/>
            </a:ext>
          </a:extLst>
        </xdr:cNvPr>
        <xdr:cNvGrpSpPr/>
      </xdr:nvGrpSpPr>
      <xdr:grpSpPr>
        <a:xfrm>
          <a:off x="44618910" y="1264920"/>
          <a:ext cx="2025015" cy="1143000"/>
          <a:chOff x="46024800" y="1188720"/>
          <a:chExt cx="2087880" cy="1097280"/>
        </a:xfrm>
      </xdr:grpSpPr>
      <xdr:sp macro="" textlink="">
        <xdr:nvSpPr>
          <xdr:cNvPr id="6" name="ZoneTexte 5">
            <a:extLst>
              <a:ext uri="{FF2B5EF4-FFF2-40B4-BE49-F238E27FC236}">
                <a16:creationId xmlns:a16="http://schemas.microsoft.com/office/drawing/2014/main" id="{F6ACB8F8-C769-FB62-26F3-B684AACCE390}"/>
              </a:ext>
            </a:extLst>
          </xdr:cNvPr>
          <xdr:cNvSpPr txBox="1"/>
        </xdr:nvSpPr>
        <xdr:spPr>
          <a:xfrm>
            <a:off x="46024800" y="1562100"/>
            <a:ext cx="2087880" cy="723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solidFill>
                  <a:schemeClr val="tx1"/>
                </a:solidFill>
              </a:rPr>
              <a:t>Cliquez ici pour être redirigez afin d'entrée une estimation du coût de consommation</a:t>
            </a:r>
          </a:p>
          <a:p>
            <a:endParaRPr lang="fr-FR" sz="1100" baseline="0"/>
          </a:p>
        </xdr:txBody>
      </xdr:sp>
      <xdr:pic>
        <xdr:nvPicPr>
          <xdr:cNvPr id="7" name="Graphique 6" descr="Avertissement avec un remplissage uni">
            <a:extLst>
              <a:ext uri="{FF2B5EF4-FFF2-40B4-BE49-F238E27FC236}">
                <a16:creationId xmlns:a16="http://schemas.microsoft.com/office/drawing/2014/main" id="{C1239A6C-F6A1-D161-CD8C-DFB58551C1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893480" y="1188720"/>
            <a:ext cx="342900" cy="342900"/>
          </a:xfrm>
          <a:prstGeom prst="rect">
            <a:avLst/>
          </a:prstGeom>
        </xdr:spPr>
      </xdr:pic>
    </xdr:grpSp>
    <xdr:clientData/>
  </xdr:twoCellAnchor>
  <xdr:twoCellAnchor>
    <xdr:from>
      <xdr:col>0</xdr:col>
      <xdr:colOff>365760</xdr:colOff>
      <xdr:row>8</xdr:row>
      <xdr:rowOff>0</xdr:rowOff>
    </xdr:from>
    <xdr:to>
      <xdr:col>2</xdr:col>
      <xdr:colOff>389345</xdr:colOff>
      <xdr:row>10</xdr:row>
      <xdr:rowOff>106681</xdr:rowOff>
    </xdr:to>
    <xdr:sp macro="" textlink="">
      <xdr:nvSpPr>
        <xdr:cNvPr id="8" name="Rectangle : coins arrondis 7">
          <a:hlinkClick xmlns:r="http://schemas.openxmlformats.org/officeDocument/2006/relationships" r:id="rId7"/>
          <a:extLst>
            <a:ext uri="{FF2B5EF4-FFF2-40B4-BE49-F238E27FC236}">
              <a16:creationId xmlns:a16="http://schemas.microsoft.com/office/drawing/2014/main" id="{C21A6AA9-BF98-45F8-88EA-378C7E8DB3EE}"/>
            </a:ext>
          </a:extLst>
        </xdr:cNvPr>
        <xdr:cNvSpPr/>
      </xdr:nvSpPr>
      <xdr:spPr>
        <a:xfrm>
          <a:off x="365760" y="1463040"/>
          <a:ext cx="3795485" cy="472441"/>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clientData/>
  </xdr:twoCellAnchor>
  <xdr:twoCellAnchor>
    <xdr:from>
      <xdr:col>2</xdr:col>
      <xdr:colOff>586740</xdr:colOff>
      <xdr:row>4</xdr:row>
      <xdr:rowOff>82731</xdr:rowOff>
    </xdr:from>
    <xdr:to>
      <xdr:col>4</xdr:col>
      <xdr:colOff>1920240</xdr:colOff>
      <xdr:row>6</xdr:row>
      <xdr:rowOff>106680</xdr:rowOff>
    </xdr:to>
    <xdr:sp macro="" textlink="">
      <xdr:nvSpPr>
        <xdr:cNvPr id="9" name="Rectangle : coins arrondis 8">
          <a:extLst>
            <a:ext uri="{FF2B5EF4-FFF2-40B4-BE49-F238E27FC236}">
              <a16:creationId xmlns:a16="http://schemas.microsoft.com/office/drawing/2014/main" id="{9870892D-5078-4A48-9B40-CF885EFC4DAC}"/>
            </a:ext>
          </a:extLst>
        </xdr:cNvPr>
        <xdr:cNvSpPr/>
      </xdr:nvSpPr>
      <xdr:spPr>
        <a:xfrm>
          <a:off x="435864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chemeClr val="bg1">
                  <a:lumMod val="50000"/>
                </a:schemeClr>
              </a:solidFill>
            </a:rPr>
            <a:t>BASE DE DONNÉES DES CONSOMMATIONS</a:t>
          </a:r>
          <a:endParaRPr lang="fr-FR" sz="1800" b="1">
            <a:solidFill>
              <a:schemeClr val="bg1">
                <a:lumMod val="50000"/>
              </a:schemeClr>
            </a:solidFill>
          </a:endParaRPr>
        </a:p>
      </xdr:txBody>
    </xdr:sp>
    <xdr:clientData/>
  </xdr:twoCellAnchor>
  <xdr:twoCellAnchor editAs="oneCell">
    <xdr:from>
      <xdr:col>0</xdr:col>
      <xdr:colOff>243840</xdr:colOff>
      <xdr:row>0</xdr:row>
      <xdr:rowOff>146376</xdr:rowOff>
    </xdr:from>
    <xdr:to>
      <xdr:col>1</xdr:col>
      <xdr:colOff>116114</xdr:colOff>
      <xdr:row>3</xdr:row>
      <xdr:rowOff>1755</xdr:rowOff>
    </xdr:to>
    <xdr:pic>
      <xdr:nvPicPr>
        <xdr:cNvPr id="11" name="Image 10" descr="Afficher l’image source">
          <a:extLst>
            <a:ext uri="{FF2B5EF4-FFF2-40B4-BE49-F238E27FC236}">
              <a16:creationId xmlns:a16="http://schemas.microsoft.com/office/drawing/2014/main" id="{1150734A-1C04-4A61-9403-BDB7CAF11D46}"/>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556" t="12432" r="3758" b="14364"/>
        <a:stretch/>
      </xdr:blipFill>
      <xdr:spPr bwMode="auto">
        <a:xfrm>
          <a:off x="24384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1510926</xdr:colOff>
      <xdr:row>0</xdr:row>
      <xdr:rowOff>0</xdr:rowOff>
    </xdr:from>
    <xdr:to>
      <xdr:col>6</xdr:col>
      <xdr:colOff>1930922</xdr:colOff>
      <xdr:row>3</xdr:row>
      <xdr:rowOff>141642</xdr:rowOff>
    </xdr:to>
    <xdr:grpSp>
      <xdr:nvGrpSpPr>
        <xdr:cNvPr id="12" name="Groupe 11">
          <a:extLst>
            <a:ext uri="{FF2B5EF4-FFF2-40B4-BE49-F238E27FC236}">
              <a16:creationId xmlns:a16="http://schemas.microsoft.com/office/drawing/2014/main" id="{C37A347C-DCD6-4616-B974-54AFB6C16B57}"/>
            </a:ext>
          </a:extLst>
        </xdr:cNvPr>
        <xdr:cNvGrpSpPr/>
      </xdr:nvGrpSpPr>
      <xdr:grpSpPr>
        <a:xfrm>
          <a:off x="11321676" y="0"/>
          <a:ext cx="2467871" cy="713142"/>
          <a:chOff x="13193649" y="0"/>
          <a:chExt cx="2530736" cy="690282"/>
        </a:xfrm>
      </xdr:grpSpPr>
      <xdr:pic>
        <xdr:nvPicPr>
          <xdr:cNvPr id="13" name="Image 12">
            <a:extLst>
              <a:ext uri="{FF2B5EF4-FFF2-40B4-BE49-F238E27FC236}">
                <a16:creationId xmlns:a16="http://schemas.microsoft.com/office/drawing/2014/main" id="{E5F239B6-A0EB-5F77-3E2E-976378BC952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14" name="Image 13">
            <a:extLst>
              <a:ext uri="{FF2B5EF4-FFF2-40B4-BE49-F238E27FC236}">
                <a16:creationId xmlns:a16="http://schemas.microsoft.com/office/drawing/2014/main" id="{363C8AFE-F275-2483-2E1F-EE61CCD8A8E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1272540</xdr:colOff>
      <xdr:row>4</xdr:row>
      <xdr:rowOff>44631</xdr:rowOff>
    </xdr:from>
    <xdr:to>
      <xdr:col>6</xdr:col>
      <xdr:colOff>1485900</xdr:colOff>
      <xdr:row>5</xdr:row>
      <xdr:rowOff>106680</xdr:rowOff>
    </xdr:to>
    <xdr:sp macro="" textlink="">
      <xdr:nvSpPr>
        <xdr:cNvPr id="16" name="Rectangle : coins arrondis 15">
          <a:extLst>
            <a:ext uri="{FF2B5EF4-FFF2-40B4-BE49-F238E27FC236}">
              <a16:creationId xmlns:a16="http://schemas.microsoft.com/office/drawing/2014/main" id="{2DED7545-9350-4641-8F72-8DE0A4CE36C1}"/>
            </a:ext>
          </a:extLst>
        </xdr:cNvPr>
        <xdr:cNvSpPr/>
      </xdr:nvSpPr>
      <xdr:spPr>
        <a:xfrm>
          <a:off x="11376660" y="776151"/>
          <a:ext cx="232410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baseline="0">
              <a:solidFill>
                <a:schemeClr val="bg1">
                  <a:lumMod val="50000"/>
                </a:schemeClr>
              </a:solidFill>
            </a:rPr>
            <a:t>Retour au tableau de bord </a:t>
          </a:r>
          <a:endParaRPr lang="fr-FR" sz="1500" b="1">
            <a:solidFill>
              <a:schemeClr val="bg1">
                <a:lumMod val="50000"/>
              </a:schemeClr>
            </a:solidFill>
          </a:endParaRPr>
        </a:p>
      </xdr:txBody>
    </xdr:sp>
    <xdr:clientData/>
  </xdr:twoCellAnchor>
  <xdr:twoCellAnchor editAs="oneCell">
    <xdr:from>
      <xdr:col>6</xdr:col>
      <xdr:colOff>1129160</xdr:colOff>
      <xdr:row>4</xdr:row>
      <xdr:rowOff>146247</xdr:rowOff>
    </xdr:from>
    <xdr:to>
      <xdr:col>6</xdr:col>
      <xdr:colOff>1505916</xdr:colOff>
      <xdr:row>6</xdr:row>
      <xdr:rowOff>157243</xdr:rowOff>
    </xdr:to>
    <xdr:pic>
      <xdr:nvPicPr>
        <xdr:cNvPr id="17" name="Graphique 16" descr="Flèche : incurvée dans le sens des aiguilles d’une montre avec un remplissage uni">
          <a:extLst>
            <a:ext uri="{FF2B5EF4-FFF2-40B4-BE49-F238E27FC236}">
              <a16:creationId xmlns:a16="http://schemas.microsoft.com/office/drawing/2014/main" id="{BC0E7C57-C89D-4D43-8422-04132B8449A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rot="7685067">
          <a:off x="13344020" y="877767"/>
          <a:ext cx="376756" cy="376756"/>
        </a:xfrm>
        <a:prstGeom prst="rect">
          <a:avLst/>
        </a:prstGeom>
      </xdr:spPr>
    </xdr:pic>
    <xdr:clientData/>
  </xdr:twoCellAnchor>
  <xdr:twoCellAnchor editAs="oneCell">
    <xdr:from>
      <xdr:col>6</xdr:col>
      <xdr:colOff>1516379</xdr:colOff>
      <xdr:row>4</xdr:row>
      <xdr:rowOff>7620</xdr:rowOff>
    </xdr:from>
    <xdr:to>
      <xdr:col>6</xdr:col>
      <xdr:colOff>1910674</xdr:colOff>
      <xdr:row>6</xdr:row>
      <xdr:rowOff>129540</xdr:rowOff>
    </xdr:to>
    <xdr:pic>
      <xdr:nvPicPr>
        <xdr:cNvPr id="24" name="Graphique 23" descr="Statistiques avec un remplissage uni">
          <a:hlinkClick xmlns:r="http://schemas.openxmlformats.org/officeDocument/2006/relationships" r:id="rId13"/>
          <a:extLst>
            <a:ext uri="{FF2B5EF4-FFF2-40B4-BE49-F238E27FC236}">
              <a16:creationId xmlns:a16="http://schemas.microsoft.com/office/drawing/2014/main" id="{95A6DE72-A778-46A7-843A-BBDD5968E66C}"/>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rcRect l="23333" r="13333" b="21667"/>
        <a:stretch/>
      </xdr:blipFill>
      <xdr:spPr>
        <a:xfrm>
          <a:off x="13731239" y="739140"/>
          <a:ext cx="394295" cy="487680"/>
        </a:xfrm>
        <a:prstGeom prst="rect">
          <a:avLst/>
        </a:prstGeom>
      </xdr:spPr>
    </xdr:pic>
    <xdr:clientData/>
  </xdr:twoCellAnchor>
  <xdr:twoCellAnchor>
    <xdr:from>
      <xdr:col>46</xdr:col>
      <xdr:colOff>137160</xdr:colOff>
      <xdr:row>8</xdr:row>
      <xdr:rowOff>121920</xdr:rowOff>
    </xdr:from>
    <xdr:to>
      <xdr:col>49</xdr:col>
      <xdr:colOff>419100</xdr:colOff>
      <xdr:row>24</xdr:row>
      <xdr:rowOff>100404</xdr:rowOff>
    </xdr:to>
    <xdr:sp macro="" textlink="">
      <xdr:nvSpPr>
        <xdr:cNvPr id="21" name="ZoneTexte 20">
          <a:extLst>
            <a:ext uri="{FF2B5EF4-FFF2-40B4-BE49-F238E27FC236}">
              <a16:creationId xmlns:a16="http://schemas.microsoft.com/office/drawing/2014/main" id="{4D7CF85D-E883-44C0-9459-6281A9225863}"/>
            </a:ext>
          </a:extLst>
        </xdr:cNvPr>
        <xdr:cNvSpPr txBox="1"/>
      </xdr:nvSpPr>
      <xdr:spPr>
        <a:xfrm>
          <a:off x="48234600" y="1584960"/>
          <a:ext cx="2659380" cy="29045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a:t>
          </a:r>
          <a:r>
            <a:rPr lang="fr-FR" sz="1100" b="1" baseline="0"/>
            <a:t> cellules coûts sont masquées, pour les afficher : </a:t>
          </a:r>
          <a:endParaRPr lang="fr-FR" sz="1100" b="1"/>
        </a:p>
        <a:p>
          <a:endParaRPr lang="fr-FR" sz="1100" b="1"/>
        </a:p>
        <a:p>
          <a:r>
            <a:rPr lang="fr-FR" sz="1100" b="1"/>
            <a:t>-</a:t>
          </a:r>
          <a:r>
            <a:rPr lang="fr-FR" sz="1100" b="0"/>
            <a:t>Sélectionnez les colonnes W à AU </a:t>
          </a:r>
        </a:p>
        <a:p>
          <a:r>
            <a:rPr lang="fr-FR" sz="1100" b="0"/>
            <a:t>-Effectuer</a:t>
          </a:r>
          <a:r>
            <a:rPr lang="fr-FR" sz="1100" b="0" baseline="0"/>
            <a:t> un clic droit</a:t>
          </a:r>
          <a:r>
            <a:rPr lang="fr-FR" sz="1100" b="0"/>
            <a:t> </a:t>
          </a:r>
        </a:p>
        <a:p>
          <a:r>
            <a:rPr lang="fr-FR" sz="1100" b="0"/>
            <a:t>-Cliquer</a:t>
          </a:r>
          <a:r>
            <a:rPr lang="fr-FR" sz="1100" b="0" baseline="0"/>
            <a:t> sur A</a:t>
          </a:r>
          <a:r>
            <a:rPr lang="fr-FR" sz="1100" b="0"/>
            <a:t>fficher</a:t>
          </a:r>
        </a:p>
        <a:p>
          <a:endParaRPr lang="fr-FR" sz="1100" b="1"/>
        </a:p>
        <a:p>
          <a:r>
            <a:rPr lang="fr-FR" sz="1100" b="1"/>
            <a:t>Masquer à nouveau les cellules, cela</a:t>
          </a:r>
          <a:r>
            <a:rPr lang="fr-FR" sz="1100" b="1" baseline="0"/>
            <a:t> permet de</a:t>
          </a:r>
          <a:r>
            <a:rPr lang="fr-FR" sz="1100" b="1"/>
            <a:t> protèger les formules d'une mauvaise manipulation lors du</a:t>
          </a:r>
          <a:r>
            <a:rPr lang="fr-FR" sz="1100" b="1" baseline="0"/>
            <a:t> remplissage de données </a:t>
          </a:r>
          <a:endParaRPr lang="fr-FR" sz="1100" b="1"/>
        </a:p>
        <a:p>
          <a:endParaRPr lang="fr-FR" sz="1100" b="1"/>
        </a:p>
        <a:p>
          <a:r>
            <a:rPr lang="fr-FR" sz="1100" b="0"/>
            <a:t>-Sélectionner les colonnes X à AT</a:t>
          </a:r>
        </a:p>
        <a:p>
          <a:r>
            <a:rPr lang="fr-FR" sz="1100" b="0"/>
            <a:t>-Effectuer</a:t>
          </a:r>
          <a:r>
            <a:rPr lang="fr-FR" sz="1100" b="0" baseline="0"/>
            <a:t> un clic droit </a:t>
          </a:r>
          <a:endParaRPr lang="fr-FR" sz="1100" b="0"/>
        </a:p>
        <a:p>
          <a:r>
            <a:rPr lang="fr-FR" sz="1100" b="0"/>
            <a:t>-Cliquer sur Masquer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281944</xdr:colOff>
      <xdr:row>7</xdr:row>
      <xdr:rowOff>121920</xdr:rowOff>
    </xdr:from>
    <xdr:to>
      <xdr:col>2</xdr:col>
      <xdr:colOff>373384</xdr:colOff>
      <xdr:row>11</xdr:row>
      <xdr:rowOff>0</xdr:rowOff>
    </xdr:to>
    <xdr:grpSp>
      <xdr:nvGrpSpPr>
        <xdr:cNvPr id="31" name="Groupe 30">
          <a:extLst>
            <a:ext uri="{FF2B5EF4-FFF2-40B4-BE49-F238E27FC236}">
              <a16:creationId xmlns:a16="http://schemas.microsoft.com/office/drawing/2014/main" id="{6B151246-27B6-4BD0-A87B-DBA7BC04C6E7}"/>
            </a:ext>
          </a:extLst>
        </xdr:cNvPr>
        <xdr:cNvGrpSpPr/>
      </xdr:nvGrpSpPr>
      <xdr:grpSpPr>
        <a:xfrm>
          <a:off x="281944" y="1455420"/>
          <a:ext cx="3766969" cy="640080"/>
          <a:chOff x="289560" y="3048000"/>
          <a:chExt cx="3863340" cy="609600"/>
        </a:xfrm>
      </xdr:grpSpPr>
      <xdr:sp macro="" textlink="">
        <xdr:nvSpPr>
          <xdr:cNvPr id="32" name="Rectangle : coins arrondis 31">
            <a:extLst>
              <a:ext uri="{FF2B5EF4-FFF2-40B4-BE49-F238E27FC236}">
                <a16:creationId xmlns:a16="http://schemas.microsoft.com/office/drawing/2014/main" id="{694FADEE-45ED-0DB8-1EA0-2AEA84C49B02}"/>
              </a:ext>
            </a:extLst>
          </xdr:cNvPr>
          <xdr:cNvSpPr/>
        </xdr:nvSpPr>
        <xdr:spPr>
          <a:xfrm>
            <a:off x="367064" y="3107871"/>
            <a:ext cx="3785836" cy="471352"/>
          </a:xfrm>
          <a:prstGeom prst="roundRect">
            <a:avLst/>
          </a:prstGeom>
          <a:solidFill>
            <a:schemeClr val="accent1"/>
          </a:solidFill>
          <a:ln>
            <a:solidFill>
              <a:schemeClr val="accent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baseline="0"/>
              <a:t> CONSOMMATION EAU</a:t>
            </a:r>
            <a:endParaRPr lang="fr-FR" sz="1100" b="1"/>
          </a:p>
        </xdr:txBody>
      </xdr:sp>
      <xdr:grpSp>
        <xdr:nvGrpSpPr>
          <xdr:cNvPr id="33" name="Groupe 32">
            <a:extLst>
              <a:ext uri="{FF2B5EF4-FFF2-40B4-BE49-F238E27FC236}">
                <a16:creationId xmlns:a16="http://schemas.microsoft.com/office/drawing/2014/main" id="{F77407E2-8B9E-2160-5271-F8DA47BC39C5}"/>
              </a:ext>
            </a:extLst>
          </xdr:cNvPr>
          <xdr:cNvGrpSpPr/>
        </xdr:nvGrpSpPr>
        <xdr:grpSpPr>
          <a:xfrm>
            <a:off x="289560" y="3048000"/>
            <a:ext cx="696685" cy="609600"/>
            <a:chOff x="620497" y="805544"/>
            <a:chExt cx="696685" cy="609600"/>
          </a:xfrm>
        </xdr:grpSpPr>
        <xdr:sp macro="" textlink="">
          <xdr:nvSpPr>
            <xdr:cNvPr id="34" name="Organigramme : Préparation 33">
              <a:extLst>
                <a:ext uri="{FF2B5EF4-FFF2-40B4-BE49-F238E27FC236}">
                  <a16:creationId xmlns:a16="http://schemas.microsoft.com/office/drawing/2014/main" id="{001A28FC-B319-ACC3-45C3-D90133F390D7}"/>
                </a:ext>
              </a:extLst>
            </xdr:cNvPr>
            <xdr:cNvSpPr/>
          </xdr:nvSpPr>
          <xdr:spPr>
            <a:xfrm>
              <a:off x="620497" y="805544"/>
              <a:ext cx="696685" cy="609600"/>
            </a:xfrm>
            <a:prstGeom prst="flowChartPreparation">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pic>
          <xdr:nvPicPr>
            <xdr:cNvPr id="35" name="Graphique 34" descr="Eau avec un remplissage uni">
              <a:extLst>
                <a:ext uri="{FF2B5EF4-FFF2-40B4-BE49-F238E27FC236}">
                  <a16:creationId xmlns:a16="http://schemas.microsoft.com/office/drawing/2014/main" id="{039FBE71-3A6A-1F67-C0FF-2FFAC3BFD1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9343" y="870857"/>
              <a:ext cx="457199" cy="457199"/>
            </a:xfrm>
            <a:prstGeom prst="rect">
              <a:avLst/>
            </a:prstGeom>
          </xdr:spPr>
        </xdr:pic>
      </xdr:grpSp>
    </xdr:grpSp>
    <xdr:clientData/>
  </xdr:twoCellAnchor>
  <xdr:twoCellAnchor>
    <xdr:from>
      <xdr:col>5</xdr:col>
      <xdr:colOff>236224</xdr:colOff>
      <xdr:row>8</xdr:row>
      <xdr:rowOff>0</xdr:rowOff>
    </xdr:from>
    <xdr:to>
      <xdr:col>6</xdr:col>
      <xdr:colOff>1911322</xdr:colOff>
      <xdr:row>10</xdr:row>
      <xdr:rowOff>105592</xdr:rowOff>
    </xdr:to>
    <xdr:sp macro="" textlink="">
      <xdr:nvSpPr>
        <xdr:cNvPr id="36" name="Rectangle : coins arrondis 35">
          <a:hlinkClick xmlns:r="http://schemas.openxmlformats.org/officeDocument/2006/relationships" r:id="rId3"/>
          <a:extLst>
            <a:ext uri="{FF2B5EF4-FFF2-40B4-BE49-F238E27FC236}">
              <a16:creationId xmlns:a16="http://schemas.microsoft.com/office/drawing/2014/main" id="{C614039E-71A8-4007-869A-4B62E92DBA04}"/>
            </a:ext>
          </a:extLst>
        </xdr:cNvPr>
        <xdr:cNvSpPr/>
      </xdr:nvSpPr>
      <xdr:spPr>
        <a:xfrm>
          <a:off x="10340344" y="1463040"/>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a:t>
          </a:r>
          <a:r>
            <a:rPr lang="fr-FR" sz="1100" b="1" baseline="0"/>
            <a:t> ÉLECTRICITÉ</a:t>
          </a:r>
          <a:endParaRPr lang="fr-FR" sz="1100" b="1"/>
        </a:p>
      </xdr:txBody>
    </xdr:sp>
    <xdr:clientData/>
  </xdr:twoCellAnchor>
  <xdr:twoCellAnchor>
    <xdr:from>
      <xdr:col>21</xdr:col>
      <xdr:colOff>1765151</xdr:colOff>
      <xdr:row>6</xdr:row>
      <xdr:rowOff>157330</xdr:rowOff>
    </xdr:from>
    <xdr:to>
      <xdr:col>22</xdr:col>
      <xdr:colOff>1742291</xdr:colOff>
      <xdr:row>12</xdr:row>
      <xdr:rowOff>157331</xdr:rowOff>
    </xdr:to>
    <xdr:grpSp>
      <xdr:nvGrpSpPr>
        <xdr:cNvPr id="5" name="Groupe 4">
          <a:hlinkClick xmlns:r="http://schemas.openxmlformats.org/officeDocument/2006/relationships" r:id="rId4"/>
          <a:extLst>
            <a:ext uri="{FF2B5EF4-FFF2-40B4-BE49-F238E27FC236}">
              <a16:creationId xmlns:a16="http://schemas.microsoft.com/office/drawing/2014/main" id="{56C5DEBF-66F9-486C-90E1-FD0697935BC5}"/>
            </a:ext>
          </a:extLst>
        </xdr:cNvPr>
        <xdr:cNvGrpSpPr/>
      </xdr:nvGrpSpPr>
      <xdr:grpSpPr>
        <a:xfrm>
          <a:off x="44403533" y="1300330"/>
          <a:ext cx="2027817" cy="1143001"/>
          <a:chOff x="46024800" y="1188720"/>
          <a:chExt cx="2087880" cy="1097280"/>
        </a:xfrm>
      </xdr:grpSpPr>
      <xdr:sp macro="" textlink="">
        <xdr:nvSpPr>
          <xdr:cNvPr id="6" name="ZoneTexte 5">
            <a:extLst>
              <a:ext uri="{FF2B5EF4-FFF2-40B4-BE49-F238E27FC236}">
                <a16:creationId xmlns:a16="http://schemas.microsoft.com/office/drawing/2014/main" id="{C4CD50B1-C5B7-B976-C545-138069439D7D}"/>
              </a:ext>
            </a:extLst>
          </xdr:cNvPr>
          <xdr:cNvSpPr txBox="1"/>
        </xdr:nvSpPr>
        <xdr:spPr>
          <a:xfrm>
            <a:off x="46024800" y="1562100"/>
            <a:ext cx="2087880" cy="723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baseline="0">
                <a:solidFill>
                  <a:schemeClr val="tx1"/>
                </a:solidFill>
              </a:rPr>
              <a:t>Cliquez ici pour être redirigez afin d'entrée une estimation du coût de consommation</a:t>
            </a:r>
          </a:p>
          <a:p>
            <a:endParaRPr lang="fr-FR" sz="1100" baseline="0"/>
          </a:p>
        </xdr:txBody>
      </xdr:sp>
      <xdr:pic>
        <xdr:nvPicPr>
          <xdr:cNvPr id="7" name="Graphique 6" descr="Avertissement avec un remplissage uni">
            <a:extLst>
              <a:ext uri="{FF2B5EF4-FFF2-40B4-BE49-F238E27FC236}">
                <a16:creationId xmlns:a16="http://schemas.microsoft.com/office/drawing/2014/main" id="{ECCFA87B-204C-4715-6681-DD4DF0DB957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893480" y="1188720"/>
            <a:ext cx="342900" cy="342900"/>
          </a:xfrm>
          <a:prstGeom prst="rect">
            <a:avLst/>
          </a:prstGeom>
        </xdr:spPr>
      </xdr:pic>
    </xdr:grpSp>
    <xdr:clientData/>
  </xdr:twoCellAnchor>
  <xdr:twoCellAnchor>
    <xdr:from>
      <xdr:col>2</xdr:col>
      <xdr:colOff>586740</xdr:colOff>
      <xdr:row>4</xdr:row>
      <xdr:rowOff>82731</xdr:rowOff>
    </xdr:from>
    <xdr:to>
      <xdr:col>4</xdr:col>
      <xdr:colOff>1920240</xdr:colOff>
      <xdr:row>6</xdr:row>
      <xdr:rowOff>106680</xdr:rowOff>
    </xdr:to>
    <xdr:sp macro="" textlink="">
      <xdr:nvSpPr>
        <xdr:cNvPr id="9" name="Rectangle : coins arrondis 8">
          <a:extLst>
            <a:ext uri="{FF2B5EF4-FFF2-40B4-BE49-F238E27FC236}">
              <a16:creationId xmlns:a16="http://schemas.microsoft.com/office/drawing/2014/main" id="{66945B0C-9E0D-437A-BB37-398B5D54FF6B}"/>
            </a:ext>
          </a:extLst>
        </xdr:cNvPr>
        <xdr:cNvSpPr/>
      </xdr:nvSpPr>
      <xdr:spPr>
        <a:xfrm>
          <a:off x="4358640" y="814251"/>
          <a:ext cx="5554980" cy="38970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chemeClr val="bg1">
                  <a:lumMod val="50000"/>
                </a:schemeClr>
              </a:solidFill>
            </a:rPr>
            <a:t>BASE DE DONNÉES DES CONSOMMATIONS</a:t>
          </a:r>
          <a:endParaRPr lang="fr-FR" sz="1800" b="1">
            <a:solidFill>
              <a:schemeClr val="bg1">
                <a:lumMod val="50000"/>
              </a:schemeClr>
            </a:solidFill>
          </a:endParaRPr>
        </a:p>
      </xdr:txBody>
    </xdr:sp>
    <xdr:clientData/>
  </xdr:twoCellAnchor>
  <xdr:twoCellAnchor>
    <xdr:from>
      <xdr:col>2</xdr:col>
      <xdr:colOff>1567543</xdr:colOff>
      <xdr:row>7</xdr:row>
      <xdr:rowOff>181791</xdr:rowOff>
    </xdr:from>
    <xdr:to>
      <xdr:col>4</xdr:col>
      <xdr:colOff>1131901</xdr:colOff>
      <xdr:row>10</xdr:row>
      <xdr:rowOff>104503</xdr:rowOff>
    </xdr:to>
    <xdr:sp macro="" textlink="">
      <xdr:nvSpPr>
        <xdr:cNvPr id="10" name="Rectangle : coins arrondis 9">
          <a:hlinkClick xmlns:r="http://schemas.openxmlformats.org/officeDocument/2006/relationships" r:id="rId7"/>
          <a:extLst>
            <a:ext uri="{FF2B5EF4-FFF2-40B4-BE49-F238E27FC236}">
              <a16:creationId xmlns:a16="http://schemas.microsoft.com/office/drawing/2014/main" id="{D0250003-1E5C-4B5C-BA0B-12FFCB0253AE}"/>
            </a:ext>
          </a:extLst>
        </xdr:cNvPr>
        <xdr:cNvSpPr/>
      </xdr:nvSpPr>
      <xdr:spPr>
        <a:xfrm>
          <a:off x="5339443" y="1461951"/>
          <a:ext cx="3785838" cy="471352"/>
        </a:xfrm>
        <a:prstGeom prst="roundRect">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fr-FR" sz="1100" b="1"/>
            <a:t>CONSOMMATION GAZ</a:t>
          </a:r>
        </a:p>
      </xdr:txBody>
    </xdr:sp>
    <xdr:clientData/>
  </xdr:twoCellAnchor>
  <xdr:twoCellAnchor editAs="oneCell">
    <xdr:from>
      <xdr:col>0</xdr:col>
      <xdr:colOff>243840</xdr:colOff>
      <xdr:row>0</xdr:row>
      <xdr:rowOff>146376</xdr:rowOff>
    </xdr:from>
    <xdr:to>
      <xdr:col>1</xdr:col>
      <xdr:colOff>116114</xdr:colOff>
      <xdr:row>3</xdr:row>
      <xdr:rowOff>1755</xdr:rowOff>
    </xdr:to>
    <xdr:pic>
      <xdr:nvPicPr>
        <xdr:cNvPr id="11" name="Image 10" descr="Afficher l’image source">
          <a:extLst>
            <a:ext uri="{FF2B5EF4-FFF2-40B4-BE49-F238E27FC236}">
              <a16:creationId xmlns:a16="http://schemas.microsoft.com/office/drawing/2014/main" id="{86D13AD3-36F6-433B-97B2-0ED865F42446}"/>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556" t="12432" r="3758" b="14364"/>
        <a:stretch/>
      </xdr:blipFill>
      <xdr:spPr bwMode="auto">
        <a:xfrm>
          <a:off x="243840" y="146376"/>
          <a:ext cx="1190534" cy="4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1510926</xdr:colOff>
      <xdr:row>0</xdr:row>
      <xdr:rowOff>0</xdr:rowOff>
    </xdr:from>
    <xdr:to>
      <xdr:col>6</xdr:col>
      <xdr:colOff>1930922</xdr:colOff>
      <xdr:row>3</xdr:row>
      <xdr:rowOff>141642</xdr:rowOff>
    </xdr:to>
    <xdr:grpSp>
      <xdr:nvGrpSpPr>
        <xdr:cNvPr id="12" name="Groupe 11">
          <a:extLst>
            <a:ext uri="{FF2B5EF4-FFF2-40B4-BE49-F238E27FC236}">
              <a16:creationId xmlns:a16="http://schemas.microsoft.com/office/drawing/2014/main" id="{D633140B-4FF6-436B-8BFD-304237A87B34}"/>
            </a:ext>
          </a:extLst>
        </xdr:cNvPr>
        <xdr:cNvGrpSpPr/>
      </xdr:nvGrpSpPr>
      <xdr:grpSpPr>
        <a:xfrm>
          <a:off x="11338485" y="0"/>
          <a:ext cx="2470672" cy="713142"/>
          <a:chOff x="13193649" y="0"/>
          <a:chExt cx="2530736" cy="690282"/>
        </a:xfrm>
      </xdr:grpSpPr>
      <xdr:pic>
        <xdr:nvPicPr>
          <xdr:cNvPr id="13" name="Image 12">
            <a:extLst>
              <a:ext uri="{FF2B5EF4-FFF2-40B4-BE49-F238E27FC236}">
                <a16:creationId xmlns:a16="http://schemas.microsoft.com/office/drawing/2014/main" id="{0DBE17BA-3785-02D3-1A3B-DCCCCD75C57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4395164" y="0"/>
            <a:ext cx="1329221" cy="690282"/>
          </a:xfrm>
          <a:prstGeom prst="rect">
            <a:avLst/>
          </a:prstGeom>
        </xdr:spPr>
      </xdr:pic>
      <xdr:pic>
        <xdr:nvPicPr>
          <xdr:cNvPr id="14" name="Image 13">
            <a:extLst>
              <a:ext uri="{FF2B5EF4-FFF2-40B4-BE49-F238E27FC236}">
                <a16:creationId xmlns:a16="http://schemas.microsoft.com/office/drawing/2014/main" id="{3B2D4D9E-F47C-242C-A270-D66302AF9F8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193649" y="69317"/>
            <a:ext cx="1176530" cy="585217"/>
          </a:xfrm>
          <a:prstGeom prst="rect">
            <a:avLst/>
          </a:prstGeom>
        </xdr:spPr>
      </xdr:pic>
    </xdr:grpSp>
    <xdr:clientData/>
  </xdr:twoCellAnchor>
  <xdr:twoCellAnchor>
    <xdr:from>
      <xdr:col>5</xdr:col>
      <xdr:colOff>1272540</xdr:colOff>
      <xdr:row>4</xdr:row>
      <xdr:rowOff>44631</xdr:rowOff>
    </xdr:from>
    <xdr:to>
      <xdr:col>6</xdr:col>
      <xdr:colOff>1485900</xdr:colOff>
      <xdr:row>5</xdr:row>
      <xdr:rowOff>106680</xdr:rowOff>
    </xdr:to>
    <xdr:sp macro="" textlink="">
      <xdr:nvSpPr>
        <xdr:cNvPr id="16" name="Rectangle : coins arrondis 15">
          <a:extLst>
            <a:ext uri="{FF2B5EF4-FFF2-40B4-BE49-F238E27FC236}">
              <a16:creationId xmlns:a16="http://schemas.microsoft.com/office/drawing/2014/main" id="{C90F63A9-F94A-45EC-913F-85F57B1881FF}"/>
            </a:ext>
          </a:extLst>
        </xdr:cNvPr>
        <xdr:cNvSpPr/>
      </xdr:nvSpPr>
      <xdr:spPr>
        <a:xfrm>
          <a:off x="11376660" y="776151"/>
          <a:ext cx="2324100" cy="244929"/>
        </a:xfrm>
        <a:prstGeom prst="round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500" b="1" baseline="0">
              <a:solidFill>
                <a:schemeClr val="bg1">
                  <a:lumMod val="50000"/>
                </a:schemeClr>
              </a:solidFill>
            </a:rPr>
            <a:t>Retour au tableau de bord </a:t>
          </a:r>
          <a:endParaRPr lang="fr-FR" sz="1500" b="1">
            <a:solidFill>
              <a:schemeClr val="bg1">
                <a:lumMod val="50000"/>
              </a:schemeClr>
            </a:solidFill>
          </a:endParaRPr>
        </a:p>
      </xdr:txBody>
    </xdr:sp>
    <xdr:clientData/>
  </xdr:twoCellAnchor>
  <xdr:twoCellAnchor editAs="oneCell">
    <xdr:from>
      <xdr:col>6</xdr:col>
      <xdr:colOff>1129160</xdr:colOff>
      <xdr:row>4</xdr:row>
      <xdr:rowOff>146247</xdr:rowOff>
    </xdr:from>
    <xdr:to>
      <xdr:col>6</xdr:col>
      <xdr:colOff>1505916</xdr:colOff>
      <xdr:row>6</xdr:row>
      <xdr:rowOff>157243</xdr:rowOff>
    </xdr:to>
    <xdr:pic>
      <xdr:nvPicPr>
        <xdr:cNvPr id="17" name="Graphique 16" descr="Flèche : incurvée dans le sens des aiguilles d’une montre avec un remplissage uni">
          <a:extLst>
            <a:ext uri="{FF2B5EF4-FFF2-40B4-BE49-F238E27FC236}">
              <a16:creationId xmlns:a16="http://schemas.microsoft.com/office/drawing/2014/main" id="{687D760C-F05B-498C-A66F-97FB1AC5A6C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rot="7685067">
          <a:off x="13344020" y="877767"/>
          <a:ext cx="376756" cy="376756"/>
        </a:xfrm>
        <a:prstGeom prst="rect">
          <a:avLst/>
        </a:prstGeom>
      </xdr:spPr>
    </xdr:pic>
    <xdr:clientData/>
  </xdr:twoCellAnchor>
  <xdr:twoCellAnchor editAs="oneCell">
    <xdr:from>
      <xdr:col>6</xdr:col>
      <xdr:colOff>1516379</xdr:colOff>
      <xdr:row>4</xdr:row>
      <xdr:rowOff>7620</xdr:rowOff>
    </xdr:from>
    <xdr:to>
      <xdr:col>6</xdr:col>
      <xdr:colOff>1910674</xdr:colOff>
      <xdr:row>6</xdr:row>
      <xdr:rowOff>129540</xdr:rowOff>
    </xdr:to>
    <xdr:pic>
      <xdr:nvPicPr>
        <xdr:cNvPr id="24" name="Graphique 23" descr="Statistiques avec un remplissage uni">
          <a:hlinkClick xmlns:r="http://schemas.openxmlformats.org/officeDocument/2006/relationships" r:id="rId13"/>
          <a:extLst>
            <a:ext uri="{FF2B5EF4-FFF2-40B4-BE49-F238E27FC236}">
              <a16:creationId xmlns:a16="http://schemas.microsoft.com/office/drawing/2014/main" id="{B5F9E8FE-1620-4700-8502-F1CAB5FDCBC7}"/>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rcRect l="23333" r="13333" b="21667"/>
        <a:stretch/>
      </xdr:blipFill>
      <xdr:spPr>
        <a:xfrm>
          <a:off x="13731239" y="739140"/>
          <a:ext cx="394295" cy="487680"/>
        </a:xfrm>
        <a:prstGeom prst="rect">
          <a:avLst/>
        </a:prstGeom>
      </xdr:spPr>
    </xdr:pic>
    <xdr:clientData/>
  </xdr:twoCellAnchor>
  <xdr:twoCellAnchor>
    <xdr:from>
      <xdr:col>46</xdr:col>
      <xdr:colOff>206187</xdr:colOff>
      <xdr:row>8</xdr:row>
      <xdr:rowOff>152400</xdr:rowOff>
    </xdr:from>
    <xdr:to>
      <xdr:col>49</xdr:col>
      <xdr:colOff>498885</xdr:colOff>
      <xdr:row>25</xdr:row>
      <xdr:rowOff>8964</xdr:rowOff>
    </xdr:to>
    <xdr:sp macro="" textlink="">
      <xdr:nvSpPr>
        <xdr:cNvPr id="21" name="ZoneTexte 20">
          <a:extLst>
            <a:ext uri="{FF2B5EF4-FFF2-40B4-BE49-F238E27FC236}">
              <a16:creationId xmlns:a16="http://schemas.microsoft.com/office/drawing/2014/main" id="{289466F9-B156-4822-AA59-E2EB441DBE53}"/>
            </a:ext>
          </a:extLst>
        </xdr:cNvPr>
        <xdr:cNvSpPr txBox="1"/>
      </xdr:nvSpPr>
      <xdr:spPr>
        <a:xfrm>
          <a:off x="48221152" y="1586753"/>
          <a:ext cx="2659380" cy="29045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a:t>
          </a:r>
          <a:r>
            <a:rPr lang="fr-FR" sz="1100" b="1" baseline="0"/>
            <a:t> cellules coûts sont masquées, pour les afficher : </a:t>
          </a:r>
          <a:endParaRPr lang="fr-FR" sz="1100" b="1"/>
        </a:p>
        <a:p>
          <a:endParaRPr lang="fr-FR" sz="1100" b="1"/>
        </a:p>
        <a:p>
          <a:r>
            <a:rPr lang="fr-FR" sz="1100" b="1"/>
            <a:t>-</a:t>
          </a:r>
          <a:r>
            <a:rPr lang="fr-FR" sz="1100" b="0"/>
            <a:t>Sélectionnez les colonnes W à AU </a:t>
          </a:r>
        </a:p>
        <a:p>
          <a:r>
            <a:rPr lang="fr-FR" sz="1100" b="0"/>
            <a:t>-Effectuer</a:t>
          </a:r>
          <a:r>
            <a:rPr lang="fr-FR" sz="1100" b="0" baseline="0"/>
            <a:t> un clic droit</a:t>
          </a:r>
          <a:r>
            <a:rPr lang="fr-FR" sz="1100" b="0"/>
            <a:t> </a:t>
          </a:r>
        </a:p>
        <a:p>
          <a:r>
            <a:rPr lang="fr-FR" sz="1100" b="0"/>
            <a:t>-Cliquer</a:t>
          </a:r>
          <a:r>
            <a:rPr lang="fr-FR" sz="1100" b="0" baseline="0"/>
            <a:t> sur A</a:t>
          </a:r>
          <a:r>
            <a:rPr lang="fr-FR" sz="1100" b="0"/>
            <a:t>fficher</a:t>
          </a:r>
        </a:p>
        <a:p>
          <a:endParaRPr lang="fr-FR" sz="1100" b="1"/>
        </a:p>
        <a:p>
          <a:r>
            <a:rPr lang="fr-FR" sz="1100" b="1"/>
            <a:t>Masquer à nouveau les cellules, cela</a:t>
          </a:r>
          <a:r>
            <a:rPr lang="fr-FR" sz="1100" b="1" baseline="0"/>
            <a:t> permet de</a:t>
          </a:r>
          <a:r>
            <a:rPr lang="fr-FR" sz="1100" b="1"/>
            <a:t> protèger les formules d'une mauvaise manipulation lors du</a:t>
          </a:r>
          <a:r>
            <a:rPr lang="fr-FR" sz="1100" b="1" baseline="0"/>
            <a:t> remplissage de données </a:t>
          </a:r>
          <a:endParaRPr lang="fr-FR" sz="1100" b="1"/>
        </a:p>
        <a:p>
          <a:endParaRPr lang="fr-FR" sz="1100" b="1"/>
        </a:p>
        <a:p>
          <a:r>
            <a:rPr lang="fr-FR" sz="1100" b="0"/>
            <a:t>-Sélectionner les colonnes X à AT</a:t>
          </a:r>
        </a:p>
        <a:p>
          <a:r>
            <a:rPr lang="fr-FR" sz="1100" b="0"/>
            <a:t>-Effectuer</a:t>
          </a:r>
          <a:r>
            <a:rPr lang="fr-FR" sz="1100" b="0" baseline="0"/>
            <a:t> un clic droit </a:t>
          </a:r>
          <a:endParaRPr lang="fr-FR" sz="1100" b="0"/>
        </a:p>
        <a:p>
          <a:r>
            <a:rPr lang="fr-FR" sz="1100" b="0"/>
            <a:t>-Cliquer sur Masquer</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16383</xdr:col>
      <xdr:colOff>137160</xdr:colOff>
      <xdr:row>1048573</xdr:row>
      <xdr:rowOff>38100</xdr:rowOff>
    </xdr:from>
    <xdr:to>
      <xdr:col>16383</xdr:col>
      <xdr:colOff>655320</xdr:colOff>
      <xdr:row>1048575</xdr:row>
      <xdr:rowOff>76200</xdr:rowOff>
    </xdr:to>
    <xdr:pic>
      <xdr:nvPicPr>
        <xdr:cNvPr id="2" name="Graphique 1" descr="Profil mâle avec un remplissage uni">
          <a:extLst>
            <a:ext uri="{FF2B5EF4-FFF2-40B4-BE49-F238E27FC236}">
              <a16:creationId xmlns:a16="http://schemas.microsoft.com/office/drawing/2014/main" id="{D9F52E87-E215-4DBD-BABF-1FE9B8BA68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983337000" y="191763068340"/>
          <a:ext cx="518160" cy="40386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erome Bony" refreshedDate="44911.729730324078" createdVersion="7" refreshedVersion="8" minRefreshableVersion="3" recordCount="3" xr:uid="{3759CB11-8989-41F5-966E-78005ECF9899}">
  <cacheSource type="worksheet">
    <worksheetSource name="Tableau_donnees_eau"/>
  </cacheSource>
  <cacheFields count="46">
    <cacheField name="Mois/Année " numFmtId="164">
      <sharedItems containsSemiMixedTypes="0" containsNonDate="0" containsDate="1" containsString="0" minDate="2022-01-01T00:00:00" maxDate="2022-03-02T00:00:00" count="3">
        <d v="2022-01-01T00:00:00"/>
        <d v="2022-02-01T00:00:00"/>
        <d v="2022-03-01T00:00:00"/>
      </sharedItems>
    </cacheField>
    <cacheField name="Commentaire " numFmtId="0">
      <sharedItems containsNonDate="0" containsString="0" containsBlank="1"/>
    </cacheField>
    <cacheField name="Poste [1]" numFmtId="0">
      <sharedItems containsNonDate="0" containsString="0" containsBlank="1"/>
    </cacheField>
    <cacheField name="Poste [2]" numFmtId="0">
      <sharedItems containsNonDate="0" containsString="0" containsBlank="1"/>
    </cacheField>
    <cacheField name="Poste [3]" numFmtId="0">
      <sharedItems containsNonDate="0" containsString="0" containsBlank="1"/>
    </cacheField>
    <cacheField name="Poste [4]" numFmtId="0">
      <sharedItems containsNonDate="0" containsString="0" containsBlank="1"/>
    </cacheField>
    <cacheField name="Poste [5]" numFmtId="0">
      <sharedItems containsNonDate="0" containsString="0" containsBlank="1"/>
    </cacheField>
    <cacheField name="Poste [6]" numFmtId="0">
      <sharedItems containsNonDate="0" containsString="0" containsBlank="1"/>
    </cacheField>
    <cacheField name="Poste [7]" numFmtId="0">
      <sharedItems containsNonDate="0" containsString="0" containsBlank="1"/>
    </cacheField>
    <cacheField name="Poste [8]" numFmtId="0">
      <sharedItems containsNonDate="0" containsString="0" containsBlank="1"/>
    </cacheField>
    <cacheField name="Poste [9]" numFmtId="0">
      <sharedItems containsNonDate="0" containsString="0" containsBlank="1"/>
    </cacheField>
    <cacheField name="Poste [10]" numFmtId="0">
      <sharedItems containsNonDate="0" containsString="0" containsBlank="1"/>
    </cacheField>
    <cacheField name="Poste [11]" numFmtId="0">
      <sharedItems containsNonDate="0" containsString="0" containsBlank="1"/>
    </cacheField>
    <cacheField name="Poste [12]" numFmtId="0">
      <sharedItems containsNonDate="0" containsString="0" containsBlank="1"/>
    </cacheField>
    <cacheField name="Poste [13]" numFmtId="0">
      <sharedItems containsNonDate="0" containsString="0" containsBlank="1"/>
    </cacheField>
    <cacheField name="Poste [14]" numFmtId="0">
      <sharedItems containsNonDate="0" containsString="0" containsBlank="1"/>
    </cacheField>
    <cacheField name="Poste [15]" numFmtId="0">
      <sharedItems containsNonDate="0" containsString="0" containsBlank="1"/>
    </cacheField>
    <cacheField name="Poste [16]" numFmtId="0">
      <sharedItems containsNonDate="0" containsString="0" containsBlank="1"/>
    </cacheField>
    <cacheField name="Poste [17]" numFmtId="0">
      <sharedItems containsNonDate="0" containsString="0" containsBlank="1"/>
    </cacheField>
    <cacheField name="Poste [18]" numFmtId="0">
      <sharedItems containsNonDate="0" containsString="0" containsBlank="1"/>
    </cacheField>
    <cacheField name="Poste [19]" numFmtId="0">
      <sharedItems containsNonDate="0" containsString="0" containsBlank="1"/>
    </cacheField>
    <cacheField name="Poste [20]" numFmtId="0">
      <sharedItems containsNonDate="0" containsString="0" containsBlank="1"/>
    </cacheField>
    <cacheField name="Total" numFmtId="0">
      <sharedItems containsNonDate="0" containsString="0" containsBlank="1"/>
    </cacheField>
    <cacheField name="Coût Poste [1]" numFmtId="0">
      <sharedItems containsSemiMixedTypes="0" containsString="0" containsNumber="1" containsInteger="1" minValue="0" maxValue="0"/>
    </cacheField>
    <cacheField name="Coût Poste [2]" numFmtId="0">
      <sharedItems containsSemiMixedTypes="0" containsString="0" containsNumber="1" containsInteger="1" minValue="0" maxValue="0"/>
    </cacheField>
    <cacheField name="Coût Poste [3]" numFmtId="0">
      <sharedItems containsSemiMixedTypes="0" containsString="0" containsNumber="1" containsInteger="1" minValue="0" maxValue="0"/>
    </cacheField>
    <cacheField name="Coût Poste [4]" numFmtId="0">
      <sharedItems containsSemiMixedTypes="0" containsString="0" containsNumber="1" containsInteger="1" minValue="0" maxValue="0"/>
    </cacheField>
    <cacheField name="Coût Poste [5]" numFmtId="0">
      <sharedItems containsSemiMixedTypes="0" containsString="0" containsNumber="1" containsInteger="1" minValue="0" maxValue="0"/>
    </cacheField>
    <cacheField name="Coût Poste [6]" numFmtId="0">
      <sharedItems containsSemiMixedTypes="0" containsString="0" containsNumber="1" containsInteger="1" minValue="0" maxValue="0"/>
    </cacheField>
    <cacheField name="Coût Poste [7]" numFmtId="0">
      <sharedItems containsSemiMixedTypes="0" containsString="0" containsNumber="1" containsInteger="1" minValue="0" maxValue="0"/>
    </cacheField>
    <cacheField name="Coût Poste [8]" numFmtId="0">
      <sharedItems containsSemiMixedTypes="0" containsString="0" containsNumber="1" containsInteger="1" minValue="0" maxValue="0"/>
    </cacheField>
    <cacheField name="Coût Poste [9]" numFmtId="0">
      <sharedItems containsSemiMixedTypes="0" containsString="0" containsNumber="1" containsInteger="1" minValue="0" maxValue="0"/>
    </cacheField>
    <cacheField name="Coût Poste [10]" numFmtId="0">
      <sharedItems containsSemiMixedTypes="0" containsString="0" containsNumber="1" containsInteger="1" minValue="0" maxValue="0"/>
    </cacheField>
    <cacheField name="Coût Poste [11]" numFmtId="0">
      <sharedItems containsSemiMixedTypes="0" containsString="0" containsNumber="1" containsInteger="1" minValue="0" maxValue="0"/>
    </cacheField>
    <cacheField name="Coût Poste [12]" numFmtId="0">
      <sharedItems containsSemiMixedTypes="0" containsString="0" containsNumber="1" containsInteger="1" minValue="0" maxValue="0"/>
    </cacheField>
    <cacheField name="Coût Poste [13]" numFmtId="0">
      <sharedItems containsSemiMixedTypes="0" containsString="0" containsNumber="1" containsInteger="1" minValue="0" maxValue="0"/>
    </cacheField>
    <cacheField name="Coût Poste [14]" numFmtId="0">
      <sharedItems containsSemiMixedTypes="0" containsString="0" containsNumber="1" containsInteger="1" minValue="0" maxValue="0"/>
    </cacheField>
    <cacheField name="Coût Poste [15]" numFmtId="0">
      <sharedItems containsSemiMixedTypes="0" containsString="0" containsNumber="1" containsInteger="1" minValue="0" maxValue="0"/>
    </cacheField>
    <cacheField name="Coût Poste [16]" numFmtId="0">
      <sharedItems containsSemiMixedTypes="0" containsString="0" containsNumber="1" containsInteger="1" minValue="0" maxValue="0"/>
    </cacheField>
    <cacheField name="Coût Poste [17]" numFmtId="0">
      <sharedItems containsSemiMixedTypes="0" containsString="0" containsNumber="1" containsInteger="1" minValue="0" maxValue="0"/>
    </cacheField>
    <cacheField name="Coût Poste [18]" numFmtId="0">
      <sharedItems containsSemiMixedTypes="0" containsString="0" containsNumber="1" containsInteger="1" minValue="0" maxValue="0"/>
    </cacheField>
    <cacheField name="Coût Poste [19]" numFmtId="0">
      <sharedItems containsSemiMixedTypes="0" containsString="0" containsNumber="1" containsInteger="1" minValue="0" maxValue="0"/>
    </cacheField>
    <cacheField name="Coût Poste [20]" numFmtId="0">
      <sharedItems containsSemiMixedTypes="0" containsString="0" containsNumber="1" containsInteger="1" minValue="0" maxValue="0"/>
    </cacheField>
    <cacheField name="Coût Total" numFmtId="0">
      <sharedItems containsSemiMixedTypes="0" containsString="0" containsNumber="1" containsInteger="1" minValue="0" maxValue="0"/>
    </cacheField>
    <cacheField name="MOIS" numFmtId="0">
      <sharedItems count="12">
        <s v="janvier"/>
        <s v="février"/>
        <s v="mars"/>
        <s v="juillet" u="1"/>
        <s v="septembre" u="1"/>
        <s v="mai" u="1"/>
        <s v="août" u="1"/>
        <s v="avril" u="1"/>
        <s v="décembre" u="1"/>
        <s v="novembre" u="1"/>
        <s v="juin" u="1"/>
        <s v="octobre" u="1"/>
      </sharedItems>
    </cacheField>
    <cacheField name="ANNÉE" numFmtId="0">
      <sharedItems containsSemiMixedTypes="0" containsString="0" containsNumber="1" containsInteger="1" minValue="2022" maxValue="2023" count="2">
        <n v="2022"/>
        <n v="2023" u="1"/>
      </sharedItems>
    </cacheField>
  </cacheFields>
  <extLst>
    <ext xmlns:x14="http://schemas.microsoft.com/office/spreadsheetml/2009/9/main" uri="{725AE2AE-9491-48be-B2B4-4EB974FC3084}">
      <x14:pivotCacheDefinition pivotCacheId="195645439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erome Bony" refreshedDate="44911.729735763889" createdVersion="7" refreshedVersion="8" minRefreshableVersion="3" recordCount="3" xr:uid="{51805130-671F-45E9-94B4-94F004C7A857}">
  <cacheSource type="worksheet">
    <worksheetSource name="Tableau_donnes_gaz"/>
  </cacheSource>
  <cacheFields count="46">
    <cacheField name="Mois/Année " numFmtId="164">
      <sharedItems containsSemiMixedTypes="0" containsNonDate="0" containsDate="1" containsString="0" minDate="2022-01-01T00:00:00" maxDate="2022-03-02T00:00:00" count="3">
        <d v="2022-01-01T00:00:00"/>
        <d v="2022-02-01T00:00:00"/>
        <d v="2022-03-01T00:00:00"/>
      </sharedItems>
    </cacheField>
    <cacheField name="Commentaire " numFmtId="0">
      <sharedItems containsNonDate="0" containsString="0" containsBlank="1"/>
    </cacheField>
    <cacheField name="Poste [1]" numFmtId="0">
      <sharedItems containsNonDate="0" containsString="0" containsBlank="1"/>
    </cacheField>
    <cacheField name="Poste [2]" numFmtId="0">
      <sharedItems containsNonDate="0" containsString="0" containsBlank="1"/>
    </cacheField>
    <cacheField name="Poste [3]" numFmtId="0">
      <sharedItems containsNonDate="0" containsString="0" containsBlank="1"/>
    </cacheField>
    <cacheField name="Poste [4]" numFmtId="0">
      <sharedItems containsNonDate="0" containsString="0" containsBlank="1"/>
    </cacheField>
    <cacheField name="Poste [5]" numFmtId="0">
      <sharedItems containsNonDate="0" containsString="0" containsBlank="1"/>
    </cacheField>
    <cacheField name="Poste [6]" numFmtId="0">
      <sharedItems containsNonDate="0" containsString="0" containsBlank="1"/>
    </cacheField>
    <cacheField name="Poste [7]" numFmtId="0">
      <sharedItems containsNonDate="0" containsString="0" containsBlank="1"/>
    </cacheField>
    <cacheField name="Poste [8]" numFmtId="0">
      <sharedItems containsNonDate="0" containsString="0" containsBlank="1"/>
    </cacheField>
    <cacheField name="Poste [9]" numFmtId="0">
      <sharedItems containsNonDate="0" containsString="0" containsBlank="1"/>
    </cacheField>
    <cacheField name="Poste [10]" numFmtId="0">
      <sharedItems containsNonDate="0" containsString="0" containsBlank="1"/>
    </cacheField>
    <cacheField name="Poste [11]" numFmtId="0">
      <sharedItems containsNonDate="0" containsString="0" containsBlank="1"/>
    </cacheField>
    <cacheField name="Poste [12]" numFmtId="0">
      <sharedItems containsNonDate="0" containsString="0" containsBlank="1"/>
    </cacheField>
    <cacheField name="Poste [13]" numFmtId="0">
      <sharedItems containsNonDate="0" containsString="0" containsBlank="1"/>
    </cacheField>
    <cacheField name="Poste [14]" numFmtId="0">
      <sharedItems containsNonDate="0" containsString="0" containsBlank="1"/>
    </cacheField>
    <cacheField name="Poste [15]" numFmtId="0">
      <sharedItems containsNonDate="0" containsString="0" containsBlank="1"/>
    </cacheField>
    <cacheField name="Poste [16]" numFmtId="0">
      <sharedItems containsNonDate="0" containsString="0" containsBlank="1"/>
    </cacheField>
    <cacheField name="Poste [17]" numFmtId="0">
      <sharedItems containsNonDate="0" containsString="0" containsBlank="1"/>
    </cacheField>
    <cacheField name="Poste [18]" numFmtId="0">
      <sharedItems containsNonDate="0" containsString="0" containsBlank="1"/>
    </cacheField>
    <cacheField name="Poste [19]" numFmtId="0">
      <sharedItems containsNonDate="0" containsString="0" containsBlank="1"/>
    </cacheField>
    <cacheField name="Poste [20]" numFmtId="0">
      <sharedItems containsNonDate="0" containsString="0" containsBlank="1"/>
    </cacheField>
    <cacheField name="Total" numFmtId="0">
      <sharedItems containsNonDate="0" containsString="0" containsBlank="1"/>
    </cacheField>
    <cacheField name="Coût Poste [1]" numFmtId="0">
      <sharedItems containsSemiMixedTypes="0" containsString="0" containsNumber="1" containsInteger="1" minValue="0" maxValue="0"/>
    </cacheField>
    <cacheField name="Coût Poste [2]" numFmtId="0">
      <sharedItems containsSemiMixedTypes="0" containsString="0" containsNumber="1" containsInteger="1" minValue="0" maxValue="0"/>
    </cacheField>
    <cacheField name="Coût Poste [3]" numFmtId="0">
      <sharedItems containsSemiMixedTypes="0" containsString="0" containsNumber="1" containsInteger="1" minValue="0" maxValue="0"/>
    </cacheField>
    <cacheField name="Coût Poste [4]" numFmtId="0">
      <sharedItems containsSemiMixedTypes="0" containsString="0" containsNumber="1" containsInteger="1" minValue="0" maxValue="0"/>
    </cacheField>
    <cacheField name="Coût Poste [5]" numFmtId="0">
      <sharedItems containsSemiMixedTypes="0" containsString="0" containsNumber="1" containsInteger="1" minValue="0" maxValue="0"/>
    </cacheField>
    <cacheField name="Coût Poste [6]" numFmtId="0">
      <sharedItems containsSemiMixedTypes="0" containsString="0" containsNumber="1" containsInteger="1" minValue="0" maxValue="0"/>
    </cacheField>
    <cacheField name="Coût Poste [7]" numFmtId="0">
      <sharedItems containsSemiMixedTypes="0" containsString="0" containsNumber="1" containsInteger="1" minValue="0" maxValue="0"/>
    </cacheField>
    <cacheField name="Coût Poste [8]" numFmtId="0">
      <sharedItems containsSemiMixedTypes="0" containsString="0" containsNumber="1" containsInteger="1" minValue="0" maxValue="0"/>
    </cacheField>
    <cacheField name="Coût Poste [9]" numFmtId="0">
      <sharedItems containsSemiMixedTypes="0" containsString="0" containsNumber="1" containsInteger="1" minValue="0" maxValue="0"/>
    </cacheField>
    <cacheField name="Coût Poste [10]" numFmtId="0">
      <sharedItems containsSemiMixedTypes="0" containsString="0" containsNumber="1" containsInteger="1" minValue="0" maxValue="0"/>
    </cacheField>
    <cacheField name="Coût Poste [11]" numFmtId="0">
      <sharedItems containsSemiMixedTypes="0" containsString="0" containsNumber="1" containsInteger="1" minValue="0" maxValue="0"/>
    </cacheField>
    <cacheField name="Coût Poste [12]" numFmtId="0">
      <sharedItems containsSemiMixedTypes="0" containsString="0" containsNumber="1" containsInteger="1" minValue="0" maxValue="0"/>
    </cacheField>
    <cacheField name="Coût Poste [13]" numFmtId="0">
      <sharedItems containsSemiMixedTypes="0" containsString="0" containsNumber="1" containsInteger="1" minValue="0" maxValue="0"/>
    </cacheField>
    <cacheField name="Coût Poste [14]" numFmtId="0">
      <sharedItems containsSemiMixedTypes="0" containsString="0" containsNumber="1" containsInteger="1" minValue="0" maxValue="0"/>
    </cacheField>
    <cacheField name="Coût Poste [15]" numFmtId="0">
      <sharedItems containsSemiMixedTypes="0" containsString="0" containsNumber="1" containsInteger="1" minValue="0" maxValue="0"/>
    </cacheField>
    <cacheField name="Coût Poste [16]" numFmtId="0">
      <sharedItems containsSemiMixedTypes="0" containsString="0" containsNumber="1" containsInteger="1" minValue="0" maxValue="0"/>
    </cacheField>
    <cacheField name="Coût Poste [17]" numFmtId="0">
      <sharedItems containsSemiMixedTypes="0" containsString="0" containsNumber="1" containsInteger="1" minValue="0" maxValue="0"/>
    </cacheField>
    <cacheField name="Coût Poste [18]" numFmtId="0">
      <sharedItems containsSemiMixedTypes="0" containsString="0" containsNumber="1" containsInteger="1" minValue="0" maxValue="0"/>
    </cacheField>
    <cacheField name="Coût Poste [19]" numFmtId="0">
      <sharedItems containsSemiMixedTypes="0" containsString="0" containsNumber="1" containsInteger="1" minValue="0" maxValue="0"/>
    </cacheField>
    <cacheField name="Coût Poste [20]" numFmtId="0">
      <sharedItems containsSemiMixedTypes="0" containsString="0" containsNumber="1" containsInteger="1" minValue="0" maxValue="0"/>
    </cacheField>
    <cacheField name="Coût Total" numFmtId="0">
      <sharedItems containsSemiMixedTypes="0" containsString="0" containsNumber="1" containsInteger="1" minValue="0" maxValue="0"/>
    </cacheField>
    <cacheField name="MOIS" numFmtId="0">
      <sharedItems count="12">
        <s v="janvier"/>
        <s v="février"/>
        <s v="mars"/>
        <s v="juillet" u="1"/>
        <s v="septembre" u="1"/>
        <s v="mai" u="1"/>
        <s v="août" u="1"/>
        <s v="avril" u="1"/>
        <s v="décembre" u="1"/>
        <s v="novembre" u="1"/>
        <s v="juin" u="1"/>
        <s v="octobre" u="1"/>
      </sharedItems>
    </cacheField>
    <cacheField name="ANNÉE" numFmtId="0">
      <sharedItems containsSemiMixedTypes="0" containsString="0" containsNumber="1" containsInteger="1" minValue="2022" maxValue="2023" count="2">
        <n v="2022"/>
        <n v="2023" u="1"/>
      </sharedItems>
    </cacheField>
  </cacheFields>
  <extLst>
    <ext xmlns:x14="http://schemas.microsoft.com/office/spreadsheetml/2009/9/main" uri="{725AE2AE-9491-48be-B2B4-4EB974FC3084}">
      <x14:pivotCacheDefinition pivotCacheId="1334326007"/>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erome Bony" refreshedDate="44911.729740162038" createdVersion="7" refreshedVersion="8" minRefreshableVersion="3" recordCount="3" xr:uid="{51A02E47-3EC4-4582-B6A3-EA5B296DD696}">
  <cacheSource type="worksheet">
    <worksheetSource name="Tableau_donnees_elec"/>
  </cacheSource>
  <cacheFields count="46">
    <cacheField name="Mois/Année " numFmtId="164">
      <sharedItems containsSemiMixedTypes="0" containsNonDate="0" containsDate="1" containsString="0" minDate="2022-01-01T00:00:00" maxDate="2022-03-02T00:00:00" count="3">
        <d v="2022-01-01T00:00:00"/>
        <d v="2022-02-01T00:00:00"/>
        <d v="2022-03-01T00:00:00"/>
      </sharedItems>
    </cacheField>
    <cacheField name="Commentaire " numFmtId="0">
      <sharedItems containsNonDate="0" containsString="0" containsBlank="1"/>
    </cacheField>
    <cacheField name="Poste [1]" numFmtId="0">
      <sharedItems containsNonDate="0" containsString="0" containsBlank="1"/>
    </cacheField>
    <cacheField name="Poste [2]" numFmtId="0">
      <sharedItems containsNonDate="0" containsString="0" containsBlank="1"/>
    </cacheField>
    <cacheField name="Poste [3] " numFmtId="0">
      <sharedItems containsNonDate="0" containsString="0" containsBlank="1"/>
    </cacheField>
    <cacheField name="Poste [4] " numFmtId="0">
      <sharedItems containsNonDate="0" containsString="0" containsBlank="1"/>
    </cacheField>
    <cacheField name="Poste [5]" numFmtId="0">
      <sharedItems containsNonDate="0" containsString="0" containsBlank="1"/>
    </cacheField>
    <cacheField name="Poste [6]" numFmtId="0">
      <sharedItems containsNonDate="0" containsString="0" containsBlank="1"/>
    </cacheField>
    <cacheField name="Poste [7] " numFmtId="0">
      <sharedItems containsNonDate="0" containsString="0" containsBlank="1"/>
    </cacheField>
    <cacheField name="Poste [8]" numFmtId="0">
      <sharedItems containsNonDate="0" containsString="0" containsBlank="1"/>
    </cacheField>
    <cacheField name="Poste [9]" numFmtId="0">
      <sharedItems containsNonDate="0" containsString="0" containsBlank="1"/>
    </cacheField>
    <cacheField name="Poste [10]" numFmtId="0">
      <sharedItems containsNonDate="0" containsString="0" containsBlank="1"/>
    </cacheField>
    <cacheField name="Poste [11]" numFmtId="0">
      <sharedItems containsNonDate="0" containsString="0" containsBlank="1"/>
    </cacheField>
    <cacheField name="Poste [12]" numFmtId="0">
      <sharedItems containsNonDate="0" containsString="0" containsBlank="1"/>
    </cacheField>
    <cacheField name="Poste [13]" numFmtId="0">
      <sharedItems containsNonDate="0" containsString="0" containsBlank="1"/>
    </cacheField>
    <cacheField name="Poste [14]" numFmtId="0">
      <sharedItems containsNonDate="0" containsString="0" containsBlank="1"/>
    </cacheField>
    <cacheField name="Poste [15]" numFmtId="0">
      <sharedItems containsNonDate="0" containsString="0" containsBlank="1"/>
    </cacheField>
    <cacheField name="Poste [16]" numFmtId="0">
      <sharedItems containsNonDate="0" containsString="0" containsBlank="1"/>
    </cacheField>
    <cacheField name="Poste [17]" numFmtId="0">
      <sharedItems containsNonDate="0" containsString="0" containsBlank="1"/>
    </cacheField>
    <cacheField name="Poste [18]" numFmtId="0">
      <sharedItems containsNonDate="0" containsString="0" containsBlank="1"/>
    </cacheField>
    <cacheField name="Poste [19]" numFmtId="0">
      <sharedItems containsNonDate="0" containsString="0" containsBlank="1"/>
    </cacheField>
    <cacheField name="Poste [20]" numFmtId="0">
      <sharedItems containsNonDate="0" containsString="0" containsBlank="1"/>
    </cacheField>
    <cacheField name="Total" numFmtId="0">
      <sharedItems containsNonDate="0" containsString="0" containsBlank="1"/>
    </cacheField>
    <cacheField name="Coût Poste [1]" numFmtId="0">
      <sharedItems containsSemiMixedTypes="0" containsString="0" containsNumber="1" containsInteger="1" minValue="0" maxValue="0"/>
    </cacheField>
    <cacheField name="Coût Poste [2]" numFmtId="0">
      <sharedItems containsSemiMixedTypes="0" containsString="0" containsNumber="1" containsInteger="1" minValue="0" maxValue="0"/>
    </cacheField>
    <cacheField name="Coût Poste [3]" numFmtId="0">
      <sharedItems containsSemiMixedTypes="0" containsString="0" containsNumber="1" containsInteger="1" minValue="0" maxValue="0"/>
    </cacheField>
    <cacheField name="Coût Poste [4]" numFmtId="0">
      <sharedItems containsSemiMixedTypes="0" containsString="0" containsNumber="1" containsInteger="1" minValue="0" maxValue="0"/>
    </cacheField>
    <cacheField name="Coût Poste [5]" numFmtId="0">
      <sharedItems containsSemiMixedTypes="0" containsString="0" containsNumber="1" containsInteger="1" minValue="0" maxValue="0"/>
    </cacheField>
    <cacheField name="Coût Poste [6]" numFmtId="0">
      <sharedItems containsSemiMixedTypes="0" containsString="0" containsNumber="1" containsInteger="1" minValue="0" maxValue="0"/>
    </cacheField>
    <cacheField name="Coût Poste [7]" numFmtId="0">
      <sharedItems containsSemiMixedTypes="0" containsString="0" containsNumber="1" containsInteger="1" minValue="0" maxValue="0"/>
    </cacheField>
    <cacheField name="Coût Poste [8] " numFmtId="0">
      <sharedItems containsSemiMixedTypes="0" containsString="0" containsNumber="1" containsInteger="1" minValue="0" maxValue="0"/>
    </cacheField>
    <cacheField name="Coût Poste [9]" numFmtId="0">
      <sharedItems containsSemiMixedTypes="0" containsString="0" containsNumber="1" containsInteger="1" minValue="0" maxValue="0"/>
    </cacheField>
    <cacheField name="Coût Poste [10]" numFmtId="0">
      <sharedItems containsSemiMixedTypes="0" containsString="0" containsNumber="1" containsInteger="1" minValue="0" maxValue="0"/>
    </cacheField>
    <cacheField name="Coût Poste [11]" numFmtId="0">
      <sharedItems containsSemiMixedTypes="0" containsString="0" containsNumber="1" containsInteger="1" minValue="0" maxValue="0"/>
    </cacheField>
    <cacheField name="Coût Poste [12]" numFmtId="0">
      <sharedItems containsSemiMixedTypes="0" containsString="0" containsNumber="1" containsInteger="1" minValue="0" maxValue="0"/>
    </cacheField>
    <cacheField name="Coût Poste [13]" numFmtId="0">
      <sharedItems containsSemiMixedTypes="0" containsString="0" containsNumber="1" containsInteger="1" minValue="0" maxValue="0"/>
    </cacheField>
    <cacheField name="Coût Poste [14]" numFmtId="0">
      <sharedItems containsSemiMixedTypes="0" containsString="0" containsNumber="1" containsInteger="1" minValue="0" maxValue="0"/>
    </cacheField>
    <cacheField name="Coût Poste [15]" numFmtId="0">
      <sharedItems containsSemiMixedTypes="0" containsString="0" containsNumber="1" containsInteger="1" minValue="0" maxValue="0"/>
    </cacheField>
    <cacheField name="Coût Poste [16]" numFmtId="0">
      <sharedItems containsSemiMixedTypes="0" containsString="0" containsNumber="1" containsInteger="1" minValue="0" maxValue="0"/>
    </cacheField>
    <cacheField name="Coût Poste [17]" numFmtId="0">
      <sharedItems containsSemiMixedTypes="0" containsString="0" containsNumber="1" containsInteger="1" minValue="0" maxValue="0"/>
    </cacheField>
    <cacheField name="Coût Poste [18]" numFmtId="0">
      <sharedItems containsSemiMixedTypes="0" containsString="0" containsNumber="1" containsInteger="1" minValue="0" maxValue="0"/>
    </cacheField>
    <cacheField name="Coût Poste [19]" numFmtId="0">
      <sharedItems containsSemiMixedTypes="0" containsString="0" containsNumber="1" containsInteger="1" minValue="0" maxValue="0"/>
    </cacheField>
    <cacheField name="Coût Poste [20]" numFmtId="0">
      <sharedItems containsSemiMixedTypes="0" containsString="0" containsNumber="1" containsInteger="1" minValue="0" maxValue="0"/>
    </cacheField>
    <cacheField name="Coût Total" numFmtId="0">
      <sharedItems containsSemiMixedTypes="0" containsString="0" containsNumber="1" containsInteger="1" minValue="0" maxValue="0"/>
    </cacheField>
    <cacheField name="MOIS" numFmtId="0">
      <sharedItems count="12">
        <s v="janvier"/>
        <s v="février"/>
        <s v="mars"/>
        <s v="juillet" u="1"/>
        <s v="septembre" u="1"/>
        <s v="mai" u="1"/>
        <s v="août" u="1"/>
        <s v="avril" u="1"/>
        <s v="décembre" u="1"/>
        <s v="novembre" u="1"/>
        <s v="juin" u="1"/>
        <s v="octobre" u="1"/>
      </sharedItems>
    </cacheField>
    <cacheField name="ANNÉE" numFmtId="0">
      <sharedItems containsSemiMixedTypes="0" containsString="0" containsNumber="1" containsInteger="1" minValue="1900" maxValue="2023" count="3">
        <n v="2022"/>
        <n v="2023" u="1"/>
        <n v="1900" u="1"/>
      </sharedItems>
    </cacheField>
  </cacheFields>
  <extLst>
    <ext xmlns:x14="http://schemas.microsoft.com/office/spreadsheetml/2009/9/main" uri="{725AE2AE-9491-48be-B2B4-4EB974FC3084}">
      <x14:pivotCacheDefinition pivotCacheId="2257766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m/>
    <m/>
    <m/>
    <m/>
    <m/>
    <m/>
    <m/>
    <m/>
    <m/>
    <m/>
    <m/>
    <m/>
    <m/>
    <m/>
    <m/>
    <m/>
    <m/>
    <m/>
    <m/>
    <n v="0"/>
    <n v="0"/>
    <n v="0"/>
    <n v="0"/>
    <n v="0"/>
    <n v="0"/>
    <n v="0"/>
    <n v="0"/>
    <n v="0"/>
    <n v="0"/>
    <n v="0"/>
    <n v="0"/>
    <n v="0"/>
    <n v="0"/>
    <n v="0"/>
    <n v="0"/>
    <n v="0"/>
    <n v="0"/>
    <n v="0"/>
    <n v="0"/>
    <n v="0"/>
    <x v="0"/>
    <x v="0"/>
  </r>
  <r>
    <x v="1"/>
    <m/>
    <m/>
    <m/>
    <m/>
    <m/>
    <m/>
    <m/>
    <m/>
    <m/>
    <m/>
    <m/>
    <m/>
    <m/>
    <m/>
    <m/>
    <m/>
    <m/>
    <m/>
    <m/>
    <m/>
    <m/>
    <m/>
    <n v="0"/>
    <n v="0"/>
    <n v="0"/>
    <n v="0"/>
    <n v="0"/>
    <n v="0"/>
    <n v="0"/>
    <n v="0"/>
    <n v="0"/>
    <n v="0"/>
    <n v="0"/>
    <n v="0"/>
    <n v="0"/>
    <n v="0"/>
    <n v="0"/>
    <n v="0"/>
    <n v="0"/>
    <n v="0"/>
    <n v="0"/>
    <n v="0"/>
    <n v="0"/>
    <x v="1"/>
    <x v="0"/>
  </r>
  <r>
    <x v="2"/>
    <m/>
    <m/>
    <m/>
    <m/>
    <m/>
    <m/>
    <m/>
    <m/>
    <m/>
    <m/>
    <m/>
    <m/>
    <m/>
    <m/>
    <m/>
    <m/>
    <m/>
    <m/>
    <m/>
    <m/>
    <m/>
    <m/>
    <n v="0"/>
    <n v="0"/>
    <n v="0"/>
    <n v="0"/>
    <n v="0"/>
    <n v="0"/>
    <n v="0"/>
    <n v="0"/>
    <n v="0"/>
    <n v="0"/>
    <n v="0"/>
    <n v="0"/>
    <n v="0"/>
    <n v="0"/>
    <n v="0"/>
    <n v="0"/>
    <n v="0"/>
    <n v="0"/>
    <n v="0"/>
    <n v="0"/>
    <n v="0"/>
    <x v="2"/>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m/>
    <m/>
    <m/>
    <m/>
    <m/>
    <m/>
    <m/>
    <m/>
    <m/>
    <m/>
    <m/>
    <m/>
    <m/>
    <m/>
    <m/>
    <m/>
    <m/>
    <m/>
    <m/>
    <n v="0"/>
    <n v="0"/>
    <n v="0"/>
    <n v="0"/>
    <n v="0"/>
    <n v="0"/>
    <n v="0"/>
    <n v="0"/>
    <n v="0"/>
    <n v="0"/>
    <n v="0"/>
    <n v="0"/>
    <n v="0"/>
    <n v="0"/>
    <n v="0"/>
    <n v="0"/>
    <n v="0"/>
    <n v="0"/>
    <n v="0"/>
    <n v="0"/>
    <n v="0"/>
    <x v="0"/>
    <x v="0"/>
  </r>
  <r>
    <x v="1"/>
    <m/>
    <m/>
    <m/>
    <m/>
    <m/>
    <m/>
    <m/>
    <m/>
    <m/>
    <m/>
    <m/>
    <m/>
    <m/>
    <m/>
    <m/>
    <m/>
    <m/>
    <m/>
    <m/>
    <m/>
    <m/>
    <m/>
    <n v="0"/>
    <n v="0"/>
    <n v="0"/>
    <n v="0"/>
    <n v="0"/>
    <n v="0"/>
    <n v="0"/>
    <n v="0"/>
    <n v="0"/>
    <n v="0"/>
    <n v="0"/>
    <n v="0"/>
    <n v="0"/>
    <n v="0"/>
    <n v="0"/>
    <n v="0"/>
    <n v="0"/>
    <n v="0"/>
    <n v="0"/>
    <n v="0"/>
    <n v="0"/>
    <x v="1"/>
    <x v="0"/>
  </r>
  <r>
    <x v="2"/>
    <m/>
    <m/>
    <m/>
    <m/>
    <m/>
    <m/>
    <m/>
    <m/>
    <m/>
    <m/>
    <m/>
    <m/>
    <m/>
    <m/>
    <m/>
    <m/>
    <m/>
    <m/>
    <m/>
    <m/>
    <m/>
    <m/>
    <n v="0"/>
    <n v="0"/>
    <n v="0"/>
    <n v="0"/>
    <n v="0"/>
    <n v="0"/>
    <n v="0"/>
    <n v="0"/>
    <n v="0"/>
    <n v="0"/>
    <n v="0"/>
    <n v="0"/>
    <n v="0"/>
    <n v="0"/>
    <n v="0"/>
    <n v="0"/>
    <n v="0"/>
    <n v="0"/>
    <n v="0"/>
    <n v="0"/>
    <n v="0"/>
    <x v="2"/>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m/>
    <m/>
    <m/>
    <m/>
    <m/>
    <m/>
    <m/>
    <m/>
    <m/>
    <m/>
    <m/>
    <m/>
    <m/>
    <m/>
    <m/>
    <m/>
    <m/>
    <m/>
    <m/>
    <m/>
    <m/>
    <m/>
    <n v="0"/>
    <n v="0"/>
    <n v="0"/>
    <n v="0"/>
    <n v="0"/>
    <n v="0"/>
    <n v="0"/>
    <n v="0"/>
    <n v="0"/>
    <n v="0"/>
    <n v="0"/>
    <n v="0"/>
    <n v="0"/>
    <n v="0"/>
    <n v="0"/>
    <n v="0"/>
    <n v="0"/>
    <n v="0"/>
    <n v="0"/>
    <n v="0"/>
    <n v="0"/>
    <x v="0"/>
    <x v="0"/>
  </r>
  <r>
    <x v="1"/>
    <m/>
    <m/>
    <m/>
    <m/>
    <m/>
    <m/>
    <m/>
    <m/>
    <m/>
    <m/>
    <m/>
    <m/>
    <m/>
    <m/>
    <m/>
    <m/>
    <m/>
    <m/>
    <m/>
    <m/>
    <m/>
    <m/>
    <n v="0"/>
    <n v="0"/>
    <n v="0"/>
    <n v="0"/>
    <n v="0"/>
    <n v="0"/>
    <n v="0"/>
    <n v="0"/>
    <n v="0"/>
    <n v="0"/>
    <n v="0"/>
    <n v="0"/>
    <n v="0"/>
    <n v="0"/>
    <n v="0"/>
    <n v="0"/>
    <n v="0"/>
    <n v="0"/>
    <n v="0"/>
    <n v="0"/>
    <n v="0"/>
    <x v="1"/>
    <x v="0"/>
  </r>
  <r>
    <x v="2"/>
    <m/>
    <m/>
    <m/>
    <m/>
    <m/>
    <m/>
    <m/>
    <m/>
    <m/>
    <m/>
    <m/>
    <m/>
    <m/>
    <m/>
    <m/>
    <m/>
    <m/>
    <m/>
    <m/>
    <m/>
    <m/>
    <m/>
    <n v="0"/>
    <n v="0"/>
    <n v="0"/>
    <n v="0"/>
    <n v="0"/>
    <n v="0"/>
    <n v="0"/>
    <n v="0"/>
    <n v="0"/>
    <n v="0"/>
    <n v="0"/>
    <n v="0"/>
    <n v="0"/>
    <n v="0"/>
    <n v="0"/>
    <n v="0"/>
    <n v="0"/>
    <n v="0"/>
    <n v="0"/>
    <n v="0"/>
    <n v="0"/>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D53EE8-6A9B-41CB-A3CB-A2127D6E382B}" name="Tab_histo_conso_tot_EAU(9)" cacheId="6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20:C22"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dataFields count="1">
    <dataField name="Somme de Total" fld="22" baseField="45" baseItem="1" numFmtId="166"/>
  </dataFields>
  <chartFormats count="5">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2" format="4" series="1">
      <pivotArea type="data" outline="0" fieldPosition="0">
        <references count="2">
          <reference field="4294967294" count="1" selected="0">
            <x v="0"/>
          </reference>
          <reference field="45" count="1" selected="0">
            <x v="0"/>
          </reference>
        </references>
      </pivotArea>
    </chartFormat>
    <chartFormat chart="2" format="5" series="1">
      <pivotArea type="data" outline="0" fieldPosition="0">
        <references count="2">
          <reference field="4294967294" count="1" selected="0">
            <x v="0"/>
          </reference>
          <reference field="45" count="1" selected="0">
            <x v="1"/>
          </reference>
        </references>
      </pivotArea>
    </chartFormat>
    <chartFormat chart="2" format="6"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D74936FA-32DE-4293-9DEE-2CFB71B2DEBD}" name="Tab_histo_cout_conso_tot_GAZ(17)" cacheId="68"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25:C27"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dataFields count="1">
    <dataField name="Somme de Coût Total" fld="43" baseField="45" baseItem="1" numFmtId="165"/>
  </dataFields>
  <chartFormats count="4">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2" format="4" series="1">
      <pivotArea type="data" outline="0" fieldPosition="0">
        <references count="2">
          <reference field="4294967294" count="1" selected="0">
            <x v="0"/>
          </reference>
          <reference field="45" count="1" selected="0">
            <x v="0"/>
          </reference>
        </references>
      </pivotArea>
    </chartFormat>
    <chartFormat chart="2" format="5" series="1">
      <pivotArea type="data" outline="0" fieldPosition="0">
        <references count="2">
          <reference field="4294967294" count="1" selected="0">
            <x v="0"/>
          </reference>
          <reference field="45" count="1" selected="0">
            <x v="1"/>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4C11E2C-A1D2-4B2F-9F79-EA75E59987C9}" name="Tab_histo_conso_postes_GAZ(18)" cacheId="68"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5775416-BA8A-4DEC-AEDC-83D4C18559EC}" name="Tab_histo_cout_conso_postes_GAZ(19)" cacheId="68"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3701C2A-B1A4-46F6-A631-1030AAE5EB9E}" name="Tab_evolution_conso_postes_GAZ(20)" cacheId="68"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3">
  <location ref="A3:A4" firstHeaderRow="1" firstDataRow="1" firstDataCol="1"/>
  <pivotFields count="46">
    <pivotField numFmtId="164"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Row" showAll="0">
      <items count="3">
        <item x="0"/>
        <item m="1" x="1"/>
        <item t="default"/>
      </items>
    </pivotField>
  </pivotFields>
  <rowFields count="2">
    <field x="45"/>
    <field x="44"/>
  </rowFields>
  <rowItems count="1">
    <i t="grand">
      <x/>
    </i>
  </rowItems>
  <colItems count="1">
    <i/>
  </colItems>
  <pivotTableStyleInfo name="PivotStyleMedium10" showRowHeaders="1" showColHeaders="1" showRowStripes="0" showColStripes="0" showLastColumn="1"/>
  <filters count="1">
    <filter fld="0" type="dateBetween" evalOrder="-1" id="57" name="Mois/Année ">
      <autoFilter ref="A1">
        <filterColumn colId="0">
          <customFilters and="1">
            <customFilter operator="greaterThanOrEqual" val="44743"/>
            <customFilter operator="lessThanOrEqual" val="45138"/>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AB406A9A-F0F6-4851-A7D6-236A919303D3}" name="Tab_secteur_conso_postes_GAZ(21)" cacheId="68" dataOnRows="1"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3">
  <location ref="A3:C20" firstHeaderRow="1" firstDataRow="1"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Medium10" showRowHeaders="1" showColHeaders="1" showRowStripes="0" showColStripes="0" showLastColumn="1"/>
  <filters count="1">
    <filter fld="0" type="dateBetween" evalOrder="-1" id="42" name="Mois/Année ">
      <autoFilter ref="A1">
        <filterColumn colId="0">
          <customFilters and="1">
            <customFilter operator="greaterThanOrEqual" val="44743"/>
            <customFilter operator="lessThanOrEqual" val="45138"/>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7837C233-A109-4EF2-B248-BEA9B3E77FCA}" name="Tab_Evolution_Conso_tot_ELEC(1)" cacheId="7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7">
  <location ref="A3:C8" firstHeaderRow="1" firstDataRow="2" firstDataCol="1"/>
  <pivotFields count="4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Col" showAll="0">
      <items count="4">
        <item m="1" x="2"/>
        <item x="0"/>
        <item m="1" x="1"/>
        <item t="default"/>
      </items>
    </pivotField>
  </pivotFields>
  <rowFields count="1">
    <field x="44"/>
  </rowFields>
  <rowItems count="4">
    <i>
      <x/>
    </i>
    <i>
      <x v="1"/>
    </i>
    <i>
      <x v="2"/>
    </i>
    <i t="grand">
      <x/>
    </i>
  </rowItems>
  <colFields count="1">
    <field x="45"/>
  </colFields>
  <colItems count="2">
    <i>
      <x v="1"/>
    </i>
    <i t="grand">
      <x/>
    </i>
  </colItems>
  <dataFields count="1">
    <dataField name="Somme de Total" fld="22" baseField="44" baseItem="0"/>
  </dataFields>
  <chartFormats count="2">
    <chartFormat chart="2" format="4" series="1">
      <pivotArea type="data" outline="0" fieldPosition="0">
        <references count="2">
          <reference field="4294967294" count="1" selected="0">
            <x v="0"/>
          </reference>
          <reference field="45" count="1" selected="0">
            <x v="1"/>
          </reference>
        </references>
      </pivotArea>
    </chartFormat>
    <chartFormat chart="2" format="5" series="1">
      <pivotArea type="data" outline="0" fieldPosition="0">
        <references count="2">
          <reference field="4294967294" count="1" selected="0">
            <x v="0"/>
          </reference>
          <reference field="45" count="1" selected="0">
            <x v="2"/>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D1AF55E1-931A-43E7-AC78-DF79F80F5B62}" name="Tab_histo_Cout_Conso_Tot_ELEC(3)" cacheId="7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5">
  <location ref="A25:C27"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13">
        <item x="0"/>
        <item x="1"/>
        <item x="2"/>
        <item m="1" x="7"/>
        <item m="1" x="5"/>
        <item m="1" x="10"/>
        <item m="1" x="3"/>
        <item m="1" x="6"/>
        <item m="1" x="4"/>
        <item m="1" x="11"/>
        <item m="1" x="9"/>
        <item m="1" x="8"/>
        <item t="default"/>
      </items>
    </pivotField>
    <pivotField axis="axisCol" showAll="0">
      <items count="4">
        <item m="1" x="2"/>
        <item x="0"/>
        <item m="1" x="1"/>
        <item t="default"/>
      </items>
    </pivotField>
  </pivotFields>
  <rowItems count="1">
    <i/>
  </rowItems>
  <colFields count="1">
    <field x="45"/>
  </colFields>
  <colItems count="2">
    <i>
      <x v="1"/>
    </i>
    <i t="grand">
      <x/>
    </i>
  </colItems>
  <dataFields count="1">
    <dataField name="Somme de Coût Total" fld="43" baseField="45" baseItem="1" numFmtId="165"/>
  </dataFields>
  <formats count="2">
    <format dxfId="1">
      <pivotArea outline="0" collapsedLevelsAreSubtotals="1" fieldPosition="0"/>
    </format>
    <format dxfId="0">
      <pivotArea outline="0" fieldPosition="0">
        <references count="1">
          <reference field="4294967294" count="1">
            <x v="0"/>
          </reference>
        </references>
      </pivotArea>
    </format>
  </formats>
  <chartFormats count="2">
    <chartFormat chart="2" format="4" series="1">
      <pivotArea type="data" outline="0" fieldPosition="0">
        <references count="2">
          <reference field="4294967294" count="1" selected="0">
            <x v="0"/>
          </reference>
          <reference field="45" count="1" selected="0">
            <x v="1"/>
          </reference>
        </references>
      </pivotArea>
    </chartFormat>
    <chartFormat chart="2" format="5" series="1">
      <pivotArea type="data" outline="0" fieldPosition="0">
        <references count="2">
          <reference field="4294967294" count="1" selected="0">
            <x v="0"/>
          </reference>
          <reference field="45" count="1" selected="0">
            <x v="2"/>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F1439F99-B4B7-481F-BA80-F9BE0613D4E8}" name="Tab_histo_Conso_Tot_ELEC(2)" cacheId="7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6">
  <location ref="A20:C22"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4">
        <item m="1" x="2"/>
        <item x="0"/>
        <item m="1" x="1"/>
        <item t="default"/>
      </items>
    </pivotField>
  </pivotFields>
  <rowItems count="1">
    <i/>
  </rowItems>
  <colFields count="1">
    <field x="45"/>
  </colFields>
  <colItems count="2">
    <i>
      <x v="1"/>
    </i>
    <i t="grand">
      <x/>
    </i>
  </colItems>
  <dataFields count="1">
    <dataField name="Somme de Total" fld="22" baseField="45" baseItem="2" numFmtId="167"/>
  </dataFields>
  <chartFormats count="2">
    <chartFormat chart="3" format="4" series="1">
      <pivotArea type="data" outline="0" fieldPosition="0">
        <references count="2">
          <reference field="4294967294" count="1" selected="0">
            <x v="0"/>
          </reference>
          <reference field="45" count="1" selected="0">
            <x v="1"/>
          </reference>
        </references>
      </pivotArea>
    </chartFormat>
    <chartFormat chart="3" format="5" series="1">
      <pivotArea type="data" outline="0" fieldPosition="0">
        <references count="2">
          <reference field="4294967294" count="1" selected="0">
            <x v="0"/>
          </reference>
          <reference field="45" count="1" selected="0">
            <x v="2"/>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8C8D641C-0A8E-44A5-B9D6-A490ACDA5F66}" name="Tab_histo_conso_postes_ELEC(4)" cacheId="73"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9">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4">
        <item m="1" x="2"/>
        <item x="0"/>
        <item m="1" x="1"/>
        <item t="default"/>
      </items>
    </pivotField>
  </pivotFields>
  <rowItems count="1">
    <i/>
  </rowItems>
  <colFields count="1">
    <field x="45"/>
  </colFields>
  <colItems count="2">
    <i>
      <x v="1"/>
    </i>
    <i t="grand">
      <x/>
    </i>
  </colItem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3F78A13-7916-4F31-A876-CB8E9BDF6087}" name="Tab_histo_cout_conso_postes_ELEC(5)" cacheId="73"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7">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4">
        <item m="1" x="2"/>
        <item x="0"/>
        <item m="1" x="1"/>
        <item t="default"/>
      </items>
    </pivotField>
  </pivotFields>
  <rowItems count="1">
    <i/>
  </rowItems>
  <colFields count="1">
    <field x="45"/>
  </colFields>
  <colItems count="2">
    <i>
      <x v="1"/>
    </i>
    <i t="grand">
      <x/>
    </i>
  </colItem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57277B5-13FB-4F2B-A824-2F9FC62B945A}" name="Tab_Evolution_conso_tot_EAU(8)" cacheId="6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3:C8"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Fields count="1">
    <field x="44"/>
  </rowFields>
  <rowItems count="4">
    <i>
      <x/>
    </i>
    <i>
      <x v="1"/>
    </i>
    <i>
      <x v="2"/>
    </i>
    <i t="grand">
      <x/>
    </i>
  </rowItems>
  <colFields count="1">
    <field x="45"/>
  </colFields>
  <colItems count="2">
    <i>
      <x/>
    </i>
    <i t="grand">
      <x/>
    </i>
  </colItems>
  <dataFields count="1">
    <dataField name="Somme de Total" fld="22" baseField="45" baseItem="0"/>
  </dataFields>
  <chartFormats count="5">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2" format="4" series="1">
      <pivotArea type="data" outline="0" fieldPosition="0">
        <references count="2">
          <reference field="4294967294" count="1" selected="0">
            <x v="0"/>
          </reference>
          <reference field="45" count="1" selected="0">
            <x v="0"/>
          </reference>
        </references>
      </pivotArea>
    </chartFormat>
    <chartFormat chart="2" format="5" series="1">
      <pivotArea type="data" outline="0" fieldPosition="0">
        <references count="2">
          <reference field="4294967294" count="1" selected="0">
            <x v="0"/>
          </reference>
          <reference field="45" count="1" selected="0">
            <x v="1"/>
          </reference>
        </references>
      </pivotArea>
    </chartFormat>
    <chartFormat chart="2" format="6"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B32F5A12-B3D0-4A2A-9F2D-0C0704457479}" name="Tab_Evolution_Conso_Postes_ELEC(6)" cacheId="73"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6">
  <location ref="A3:E8" firstHeaderRow="0" firstDataRow="1" firstDataCol="1"/>
  <pivotFields count="46">
    <pivotField numFmtId="164" showAll="0">
      <items count="4">
        <item x="0"/>
        <item x="1"/>
        <item x="2"/>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Row" showAll="0">
      <items count="4">
        <item m="1" x="2"/>
        <item x="0"/>
        <item m="1" x="1"/>
        <item t="default"/>
      </items>
    </pivotField>
  </pivotFields>
  <rowFields count="2">
    <field x="45"/>
    <field x="44"/>
  </rowFields>
  <rowItems count="5">
    <i>
      <x v="1"/>
    </i>
    <i r="1">
      <x/>
    </i>
    <i r="1">
      <x v="1"/>
    </i>
    <i r="1">
      <x v="2"/>
    </i>
    <i t="grand">
      <x/>
    </i>
  </rowItems>
  <colFields count="1">
    <field x="-2"/>
  </colFields>
  <colItems count="4">
    <i>
      <x/>
    </i>
    <i i="1">
      <x v="1"/>
    </i>
    <i i="2">
      <x v="2"/>
    </i>
    <i i="3">
      <x v="3"/>
    </i>
  </colItems>
  <dataFields count="4">
    <dataField name="Somme de Poste [1]" fld="2" baseField="0" baseItem="0"/>
    <dataField name="Somme de Poste [2]" fld="3" baseField="0" baseItem="0"/>
    <dataField name="Somme de Poste [3] " fld="4" baseField="0" baseItem="0"/>
    <dataField name="Somme de Poste [4] " fld="5" baseField="0" baseItem="0"/>
  </dataFields>
  <chartFormats count="4">
    <chartFormat chart="5" format="61" series="1">
      <pivotArea type="data" outline="0" fieldPosition="0">
        <references count="1">
          <reference field="4294967294" count="1" selected="0">
            <x v="0"/>
          </reference>
        </references>
      </pivotArea>
    </chartFormat>
    <chartFormat chart="5" format="62" series="1">
      <pivotArea type="data" outline="0" fieldPosition="0">
        <references count="1">
          <reference field="4294967294" count="1" selected="0">
            <x v="1"/>
          </reference>
        </references>
      </pivotArea>
    </chartFormat>
    <chartFormat chart="5" format="63" series="1">
      <pivotArea type="data" outline="0" fieldPosition="0">
        <references count="1">
          <reference field="4294967294" count="1" selected="0">
            <x v="2"/>
          </reference>
        </references>
      </pivotArea>
    </chartFormat>
    <chartFormat chart="5" format="64" series="1">
      <pivotArea type="data" outline="0" fieldPosition="0">
        <references count="1">
          <reference field="4294967294" count="1" selected="0">
            <x v="3"/>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F393042A-4871-458B-827F-3FE4627D6614}" name="Tab_Secteur_Conso_postes_ELEC(7)" cacheId="73" dataOnRows="1"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4">
  <location ref="A3:B7" firstHeaderRow="1" firstDataRow="1" firstDataCol="1"/>
  <pivotFields count="46">
    <pivotField numFmtId="164" showAll="0">
      <items count="4">
        <item x="0"/>
        <item x="1"/>
        <item x="2"/>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i>
    <i i="1">
      <x v="1"/>
    </i>
    <i i="2">
      <x v="2"/>
    </i>
    <i i="3">
      <x v="3"/>
    </i>
  </rowItems>
  <colItems count="1">
    <i/>
  </colItems>
  <dataFields count="4">
    <dataField name="Somme de Poste [1]" fld="2" baseField="0" baseItem="0"/>
    <dataField name="Somme de Poste [2]" fld="3" baseField="0" baseItem="0"/>
    <dataField name="Somme de Poste [3] " fld="4" baseField="0" baseItem="0"/>
    <dataField name="Somme de Poste [4] " fld="5" baseField="0" baseItem="0"/>
  </dataFields>
  <chartFormats count="5">
    <chartFormat chart="3" format="60" series="1">
      <pivotArea type="data" outline="0" fieldPosition="0">
        <references count="1">
          <reference field="4294967294" count="1" selected="0">
            <x v="0"/>
          </reference>
        </references>
      </pivotArea>
    </chartFormat>
    <chartFormat chart="3" format="61">
      <pivotArea type="data" outline="0" fieldPosition="0">
        <references count="1">
          <reference field="4294967294" count="1" selected="0">
            <x v="0"/>
          </reference>
        </references>
      </pivotArea>
    </chartFormat>
    <chartFormat chart="3" format="62">
      <pivotArea type="data" outline="0" fieldPosition="0">
        <references count="1">
          <reference field="4294967294" count="1" selected="0">
            <x v="1"/>
          </reference>
        </references>
      </pivotArea>
    </chartFormat>
    <chartFormat chart="3" format="63">
      <pivotArea type="data" outline="0" fieldPosition="0">
        <references count="1">
          <reference field="4294967294" count="1" selected="0">
            <x v="2"/>
          </reference>
        </references>
      </pivotArea>
    </chartFormat>
    <chartFormat chart="3" format="64">
      <pivotArea type="data" outline="0" fieldPosition="0">
        <references count="1">
          <reference field="4294967294" count="1" selected="0">
            <x v="3"/>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F99B9BB-7192-4643-95FE-A7D43409E37B}" name="Tab_histo_conso_postes_EAU(10)" cacheId="63"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25:C27"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dataFields count="1">
    <dataField name="Somme de Coût Total" fld="43" baseField="45" baseItem="0" numFmtId="165"/>
  </dataFields>
  <chartFormats count="5">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2" format="4" series="1">
      <pivotArea type="data" outline="0" fieldPosition="0">
        <references count="2">
          <reference field="4294967294" count="1" selected="0">
            <x v="0"/>
          </reference>
          <reference field="45" count="1" selected="0">
            <x v="0"/>
          </reference>
        </references>
      </pivotArea>
    </chartFormat>
    <chartFormat chart="2" format="5" series="1">
      <pivotArea type="data" outline="0" fieldPosition="0">
        <references count="2">
          <reference field="4294967294" count="1" selected="0">
            <x v="0"/>
          </reference>
          <reference field="45" count="1" selected="0">
            <x v="1"/>
          </reference>
        </references>
      </pivotArea>
    </chartFormat>
    <chartFormat chart="2" format="6"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A1E63A0-A78B-4D45-95CA-F1EF3EA25C0C}" name="Tab_histo_conso_postes_EAU(11)" cacheId="63"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7E60A33-61B8-4C49-8B5E-8AABB672E07F}" name="Tab_histo_cout_conso_postes_EAU(12)" cacheId="63" dataOnRows="1"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3:B4" firstHeaderRow="1" firstDataRow="2"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E763840-912F-4BD8-904C-68DF4879FCC9}" name="Tab_evolution_conso_postes_EAU(13)" cacheId="63"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3">
  <location ref="A3:A4" firstHeaderRow="1" firstDataRow="1" firstDataCol="1"/>
  <pivotFields count="46">
    <pivotField numFmtId="164"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Row" showAll="0">
      <items count="3">
        <item x="0"/>
        <item m="1" x="1"/>
        <item t="default"/>
      </items>
    </pivotField>
  </pivotFields>
  <rowFields count="2">
    <field x="45"/>
    <field x="44"/>
  </rowFields>
  <rowItems count="1">
    <i t="grand">
      <x/>
    </i>
  </rowItems>
  <colItems count="1">
    <i/>
  </colItems>
  <pivotTableStyleInfo name="PivotStyleMedium13" showRowHeaders="1" showColHeaders="1" showRowStripes="0" showColStripes="0" showLastColumn="1"/>
  <filters count="1">
    <filter fld="0" type="dateBetween" evalOrder="-1" id="27" name="Mois/Année ">
      <autoFilter ref="A1">
        <filterColumn colId="0">
          <customFilters and="1">
            <customFilter operator="greaterThanOrEqual" val="44805"/>
            <customFilter operator="lessThanOrEqual" val="44834"/>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81E88AE-14E9-4B87-9939-0E4DB7B4AF6F}" name="Tab_secteur_conso_postes_EAU(14)" cacheId="63" dataOnRows="1" applyNumberFormats="0" applyBorderFormats="0" applyFontFormats="0" applyPatternFormats="0" applyAlignmentFormats="0" applyWidthHeightFormats="1" dataCaption="Valeurs" updatedVersion="8" minRefreshableVersion="5" useAutoFormatting="1" itemPrintTitles="1" createdVersion="7" indent="0" outline="1" outlineData="1" multipleFieldFilters="0" chartFormat="3">
  <location ref="A3:C20" firstHeaderRow="1" firstDataRow="1" firstDataCol="0"/>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Medium13" showRowHeaders="1" showColHeaders="1" showRowStripes="0" showColStripes="0" showLastColumn="1"/>
  <filters count="1">
    <filter fld="0" type="dateBetween" evalOrder="-1" id="18" name="Mois/Année ">
      <autoFilter ref="A1">
        <filterColumn colId="0">
          <customFilters and="1">
            <customFilter operator="greaterThanOrEqual" val="44805"/>
            <customFilter operator="lessThanOrEqual" val="44834"/>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6599826-8C79-43ED-AC2F-666289066F82}" name="Tab_histo_conso_tot_GAZ(16)" cacheId="68"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3">
  <location ref="A20:C22"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Items count="1">
    <i/>
  </rowItems>
  <colFields count="1">
    <field x="45"/>
  </colFields>
  <colItems count="2">
    <i>
      <x/>
    </i>
    <i t="grand">
      <x/>
    </i>
  </colItems>
  <dataFields count="1">
    <dataField name="Somme de Total" fld="22" baseField="45" baseItem="1" numFmtId="167"/>
  </dataFields>
  <chartFormats count="4">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2" format="4" series="1">
      <pivotArea type="data" outline="0" fieldPosition="0">
        <references count="2">
          <reference field="4294967294" count="1" selected="0">
            <x v="0"/>
          </reference>
          <reference field="45" count="1" selected="0">
            <x v="0"/>
          </reference>
        </references>
      </pivotArea>
    </chartFormat>
    <chartFormat chart="2" format="5" series="1">
      <pivotArea type="data" outline="0" fieldPosition="0">
        <references count="2">
          <reference field="4294967294" count="1" selected="0">
            <x v="0"/>
          </reference>
          <reference field="45" count="1" selected="0">
            <x v="1"/>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E5ECAEC-3AFD-48B0-8F0E-6B868F3E16F0}" name="Tab_evolution_conso_tot_GAZ(15)" cacheId="68" applyNumberFormats="0" applyBorderFormats="0" applyFontFormats="0" applyPatternFormats="0" applyAlignmentFormats="0" applyWidthHeightFormats="1" dataCaption="Valeurs" updatedVersion="8" minRefreshableVersion="3" useAutoFormatting="1" itemPrintTitles="1" createdVersion="7" indent="0" outline="1" outlineData="1" multipleFieldFilters="0" chartFormat="4">
  <location ref="A3:C8" firstHeaderRow="1" firstDataRow="2" firstDataCol="1"/>
  <pivotFields count="46">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0"/>
        <item x="1"/>
        <item x="2"/>
        <item m="1" x="7"/>
        <item m="1" x="5"/>
        <item m="1" x="10"/>
        <item m="1" x="3"/>
        <item m="1" x="6"/>
        <item m="1" x="4"/>
        <item m="1" x="11"/>
        <item m="1" x="9"/>
        <item m="1" x="8"/>
        <item t="default"/>
      </items>
    </pivotField>
    <pivotField axis="axisCol" showAll="0">
      <items count="3">
        <item x="0"/>
        <item m="1" x="1"/>
        <item t="default"/>
      </items>
    </pivotField>
  </pivotFields>
  <rowFields count="1">
    <field x="44"/>
  </rowFields>
  <rowItems count="4">
    <i>
      <x/>
    </i>
    <i>
      <x v="1"/>
    </i>
    <i>
      <x v="2"/>
    </i>
    <i t="grand">
      <x/>
    </i>
  </rowItems>
  <colFields count="1">
    <field x="45"/>
  </colFields>
  <colItems count="2">
    <i>
      <x/>
    </i>
    <i t="grand">
      <x/>
    </i>
  </colItems>
  <dataFields count="1">
    <dataField name="Somme de Total" fld="22" baseField="45" baseItem="0"/>
  </dataFields>
  <chartFormats count="4">
    <chartFormat chart="0" format="0" series="1">
      <pivotArea type="data" outline="0" fieldPosition="0">
        <references count="2">
          <reference field="4294967294" count="1" selected="0">
            <x v="0"/>
          </reference>
          <reference field="45" count="1" selected="0">
            <x v="0"/>
          </reference>
        </references>
      </pivotArea>
    </chartFormat>
    <chartFormat chart="0" format="1" series="1">
      <pivotArea type="data" outline="0" fieldPosition="0">
        <references count="2">
          <reference field="4294967294" count="1" selected="0">
            <x v="0"/>
          </reference>
          <reference field="45" count="1" selected="0">
            <x v="1"/>
          </reference>
        </references>
      </pivotArea>
    </chartFormat>
    <chartFormat chart="3" format="4" series="1">
      <pivotArea type="data" outline="0" fieldPosition="0">
        <references count="2">
          <reference field="4294967294" count="1" selected="0">
            <x v="0"/>
          </reference>
          <reference field="45" count="1" selected="0">
            <x v="0"/>
          </reference>
        </references>
      </pivotArea>
    </chartFormat>
    <chartFormat chart="3" format="5" series="1">
      <pivotArea type="data" outline="0" fieldPosition="0">
        <references count="2">
          <reference field="4294967294" count="1" selected="0">
            <x v="0"/>
          </reference>
          <reference field="45" count="1" selected="0">
            <x v="1"/>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MOIS" xr10:uid="{8E998098-8706-4317-B301-276CB14DFB13}" sourceName="MOIS">
  <pivotTables>
    <pivotTable tabId="14" name="Tab_histo_Conso_Tot_ELEC(2)"/>
    <pivotTable tabId="15" name="Tab_histo_conso_postes_ELEC(4)"/>
    <pivotTable tabId="14" name="Tab_Evolution_Conso_tot_ELEC(1)"/>
    <pivotTable tabId="14" name="Tab_histo_Cout_Conso_Tot_ELEC(3)"/>
    <pivotTable tabId="16" name="Tab_histo_cout_conso_postes_ELEC(5)"/>
  </pivotTables>
  <data>
    <tabular pivotCacheId="225776657">
      <items count="12">
        <i x="0" s="1"/>
        <i x="1" s="1"/>
        <i x="2" s="1"/>
        <i x="7" s="1" nd="1"/>
        <i x="5" s="1" nd="1"/>
        <i x="10" s="1" nd="1"/>
        <i x="3" s="1" nd="1"/>
        <i x="6" s="1" nd="1"/>
        <i x="4" s="1" nd="1"/>
        <i x="11" s="1" nd="1"/>
        <i x="9" s="1" nd="1"/>
        <i x="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NNÉE" xr10:uid="{53F9F0D7-3008-43C5-A6DB-3A7031E91FD2}" sourceName="ANNÉE">
  <pivotTables>
    <pivotTable tabId="14" name="Tab_histo_Conso_Tot_ELEC(2)"/>
    <pivotTable tabId="14" name="Tab_Evolution_Conso_tot_ELEC(1)"/>
    <pivotTable tabId="14" name="Tab_histo_Cout_Conso_Tot_ELEC(3)"/>
    <pivotTable tabId="15" name="Tab_histo_conso_postes_ELEC(4)"/>
    <pivotTable tabId="16" name="Tab_histo_cout_conso_postes_ELEC(5)"/>
  </pivotTables>
  <data>
    <tabular pivotCacheId="225776657">
      <items count="3">
        <i x="0" s="1"/>
        <i x="2" s="1" nd="1"/>
        <i x="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MOIS2" xr10:uid="{04D0DB44-959C-44F0-B08C-5B73639151D2}" sourceName="MOIS">
  <pivotTables>
    <pivotTable tabId="25" name="Tab_evolution_conso_tot_GAZ(15)"/>
    <pivotTable tabId="26" name="Tab_histo_conso_postes_GAZ(18)"/>
    <pivotTable tabId="25" name="Tab_histo_conso_tot_GAZ(16)"/>
    <pivotTable tabId="25" name="Tab_histo_cout_conso_tot_GAZ(17)"/>
    <pivotTable tabId="27" name="Tab_histo_cout_conso_postes_GAZ(19)"/>
  </pivotTables>
  <data>
    <tabular pivotCacheId="1334326007">
      <items count="12">
        <i x="0" s="1"/>
        <i x="1" s="1"/>
        <i x="2" s="1"/>
        <i x="7" s="1" nd="1"/>
        <i x="5" s="1" nd="1"/>
        <i x="10" s="1" nd="1"/>
        <i x="3" s="1" nd="1"/>
        <i x="6" s="1" nd="1"/>
        <i x="4" s="1" nd="1"/>
        <i x="11" s="1" nd="1"/>
        <i x="9" s="1" nd="1"/>
        <i x="8"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NNÉE2" xr10:uid="{A30FB3D8-C15B-463B-816E-21ACA4169995}" sourceName="ANNÉE">
  <pivotTables>
    <pivotTable tabId="25" name="Tab_evolution_conso_tot_GAZ(15)"/>
    <pivotTable tabId="26" name="Tab_histo_conso_postes_GAZ(18)"/>
    <pivotTable tabId="25" name="Tab_histo_conso_tot_GAZ(16)"/>
    <pivotTable tabId="25" name="Tab_histo_cout_conso_tot_GAZ(17)"/>
    <pivotTable tabId="27" name="Tab_histo_cout_conso_postes_GAZ(19)"/>
  </pivotTables>
  <data>
    <tabular pivotCacheId="1334326007">
      <items count="2">
        <i x="0" s="1"/>
        <i x="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MOIS1" xr10:uid="{4C87A754-29B7-47D2-A815-AF6DB26C0B28}" sourceName="MOIS">
  <pivotTables>
    <pivotTable tabId="19" name="Tab_Evolution_conso_tot_EAU(8)"/>
    <pivotTable tabId="21" name="Tab_histo_conso_postes_EAU(11)"/>
    <pivotTable tabId="19" name="Tab_histo_conso_postes_EAU(10)"/>
    <pivotTable tabId="19" name="Tab_histo_conso_tot_EAU(9)"/>
    <pivotTable tabId="22" name="Tab_histo_cout_conso_postes_EAU(12)"/>
  </pivotTables>
  <data>
    <tabular pivotCacheId="1956454398">
      <items count="12">
        <i x="0" s="1"/>
        <i x="1" s="1"/>
        <i x="2" s="1"/>
        <i x="7" s="1" nd="1"/>
        <i x="5" s="1" nd="1"/>
        <i x="10" s="1" nd="1"/>
        <i x="3" s="1" nd="1"/>
        <i x="6" s="1" nd="1"/>
        <i x="4" s="1" nd="1"/>
        <i x="11" s="1" nd="1"/>
        <i x="9" s="1" nd="1"/>
        <i x="8"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NNÉE1" xr10:uid="{F4A88526-9351-4A0E-80AB-537484AF599C}" sourceName="ANNÉE">
  <pivotTables>
    <pivotTable tabId="19" name="Tab_Evolution_conso_tot_EAU(8)"/>
    <pivotTable tabId="21" name="Tab_histo_conso_postes_EAU(11)"/>
    <pivotTable tabId="19" name="Tab_histo_conso_postes_EAU(10)"/>
    <pivotTable tabId="19" name="Tab_histo_conso_tot_EAU(9)"/>
    <pivotTable tabId="22" name="Tab_histo_cout_conso_postes_EAU(12)"/>
  </pivotTables>
  <data>
    <tabular pivotCacheId="1956454398">
      <items count="2">
        <i x="0" s="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IS" xr10:uid="{C6466C30-7F58-4F64-8346-224A6F0B322A}" cache="Segment_MOIS" caption="MOIS" columnCount="2" style="SlicerStyleDark4" lockedPosition="1" rowHeight="234950"/>
  <slicer name="ANNÉE" xr10:uid="{1D86282F-C6E9-4CEC-BC47-EE87B1F7E27C}" cache="Segment_ANNÉE" caption="ANNÉE" style="SlicerStyleDark4" lockedPosition="1"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IS 2" xr10:uid="{BC65DBDE-7FDE-42DE-82D6-4E891E781AEF}" cache="Segment_MOIS2" caption="MOIS" columnCount="2" style="SlicerStyleDark2" lockedPosition="1" rowHeight="234950"/>
  <slicer name="ANNÉE 2" xr10:uid="{9C32F25E-BAE1-4427-AF7D-448AFD66CD2E}" cache="Segment_ANNÉE2" caption="ANNÉE" style="SlicerStyleDark2" lockedPosition="1"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IS 1" xr10:uid="{652BECD1-EC40-4861-B739-9AC69EE77516}" cache="Segment_MOIS1" caption="MOIS" columnCount="2" style="SlicerStyleDark1" lockedPosition="1" rowHeight="234950"/>
  <slicer name="ANNÉE 1" xr10:uid="{3EC061A6-C898-48FB-9F9A-8CE7C24AD8D1}" cache="Segment_ANNÉE1" caption="ANNÉE" style="SlicerStyleDark1" lockedPosition="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C78F51-7323-4441-9814-262BF7841DBB}" name="Tableau_donnees_elec" displayName="Tableau_donnees_elec" ref="A16:AT19" totalsRowShown="0" headerRowDxfId="151" dataDxfId="150">
  <autoFilter ref="A16:AT19" xr:uid="{A6C78F51-7323-4441-9814-262BF7841DBB}"/>
  <tableColumns count="46">
    <tableColumn id="1" xr3:uid="{6D499565-D9C4-4CED-8A79-BF75C0507B84}" name="Mois/Année " dataDxfId="149"/>
    <tableColumn id="2" xr3:uid="{55EE4178-3F48-4184-96F1-E88607D97B43}" name="Commentaire " dataDxfId="148"/>
    <tableColumn id="3" xr3:uid="{2F65D68D-C213-43D9-892F-F5CE35BC9BEB}" name="Poste [1]" dataDxfId="147"/>
    <tableColumn id="4" xr3:uid="{31B95E6A-49DB-47C6-81CA-9808E7949965}" name="Poste [2]" dataDxfId="146"/>
    <tableColumn id="5" xr3:uid="{D0F56C52-C2E8-47A6-8577-4FB33D58A4F3}" name="Poste [3] " dataDxfId="145"/>
    <tableColumn id="6" xr3:uid="{68688D25-6CA2-44C3-8F47-693BC79FF85A}" name="Poste [4] " dataDxfId="144"/>
    <tableColumn id="7" xr3:uid="{9BEB51C6-14AB-49AE-A94B-873C58E97393}" name="Poste [5]" dataDxfId="143"/>
    <tableColumn id="8" xr3:uid="{5A4B3320-CF46-4A28-9DED-016135EE0D8B}" name="Poste [6]" dataDxfId="142"/>
    <tableColumn id="9" xr3:uid="{0190033D-2586-42A8-927B-2C07862A9479}" name="Poste [7] " dataDxfId="141"/>
    <tableColumn id="10" xr3:uid="{655F434B-B9EA-41E0-95F2-94BA97155470}" name="Poste [8]" dataDxfId="140"/>
    <tableColumn id="11" xr3:uid="{3D0FA74B-695E-45C4-9E89-E98B76E6632C}" name="Poste [9]" dataDxfId="139"/>
    <tableColumn id="12" xr3:uid="{3A6EAB00-9144-4A4E-ABB5-4F21F9D8BEA9}" name="Poste [10]" dataDxfId="138"/>
    <tableColumn id="13" xr3:uid="{8023100F-0A61-4A25-BCA3-6DC79E370E32}" name="Poste [11]" dataDxfId="137"/>
    <tableColumn id="14" xr3:uid="{56FDE849-1F24-4B28-82DE-CD0E40BA27C1}" name="Poste [12]" dataDxfId="136"/>
    <tableColumn id="15" xr3:uid="{EFAC5D5A-43FD-425C-B045-9446E4BC0B88}" name="Poste [13]" dataDxfId="135"/>
    <tableColumn id="16" xr3:uid="{DE8EB3C2-052C-4DC2-AD62-E0ACD05FA95F}" name="Poste [14]" dataDxfId="134"/>
    <tableColumn id="17" xr3:uid="{0BF22056-D7FB-46E6-8AB2-0A501EEE92CD}" name="Poste [15]" dataDxfId="133"/>
    <tableColumn id="18" xr3:uid="{7683F7D9-E387-4C50-BD50-409610B6B7CB}" name="Poste [16]" dataDxfId="132"/>
    <tableColumn id="19" xr3:uid="{9EB9E238-1488-4B72-A417-AAEA7BF34F69}" name="Poste [17]" dataDxfId="131"/>
    <tableColumn id="20" xr3:uid="{87F5454D-AFB0-4A04-BC79-5849D26AFC10}" name="Poste [18]" dataDxfId="130"/>
    <tableColumn id="21" xr3:uid="{C65DB896-2654-4773-BDAA-1871C6D6B939}" name="Poste [19]" dataDxfId="129"/>
    <tableColumn id="22" xr3:uid="{3D1480C1-9E02-4EB1-9E73-899B92D3C395}" name="Poste [20]" dataDxfId="128"/>
    <tableColumn id="23" xr3:uid="{DD6A43E5-2531-44AC-BE9E-F9E3A96CAE22}" name="Total" dataDxfId="127"/>
    <tableColumn id="24" xr3:uid="{0E10A89A-0B5B-4245-879C-9ED11D61E610}" name="Coût Poste [1]" dataDxfId="126">
      <calculatedColumnFormula>VLOOKUP(Tableau_donnees_elec[[#This Row],[ANNÉE]],Tableau6[],2,FALSE)*Tableau_donnees_elec[[#This Row],[Poste '[1']]]</calculatedColumnFormula>
    </tableColumn>
    <tableColumn id="25" xr3:uid="{469EB0BC-71A1-4C1B-8514-5F0F60346EB2}" name="Coût Poste [2]" dataDxfId="125">
      <calculatedColumnFormula>VLOOKUP(Tableau_donnees_elec[[#This Row],[ANNÉE]],Tableau6[],2,FALSE)*Tableau_donnees_elec[[#This Row],[Poste '[2']]]</calculatedColumnFormula>
    </tableColumn>
    <tableColumn id="26" xr3:uid="{355DCEBA-A63C-4CBC-AD65-47A6DD10481F}" name="Coût Poste [3]" dataDxfId="124">
      <calculatedColumnFormula>VLOOKUP(Tableau_donnees_elec[[#This Row],[ANNÉE]],Tableau6[],2,FALSE)*Tableau_donnees_elec[[#This Row],[Poste '[3'] ]]</calculatedColumnFormula>
    </tableColumn>
    <tableColumn id="27" xr3:uid="{1EFC659C-A93A-4BF5-A105-821AF10358D3}" name="Coût Poste [4]" dataDxfId="123">
      <calculatedColumnFormula>VLOOKUP(Tableau_donnees_elec[[#This Row],[ANNÉE]],Tableau6[],2,FALSE)*Tableau_donnees_elec[[#This Row],[Poste '[4'] ]]</calculatedColumnFormula>
    </tableColumn>
    <tableColumn id="28" xr3:uid="{221AA54F-57A4-49A1-9218-AAB8244281CA}" name="Coût Poste [5]" dataDxfId="122">
      <calculatedColumnFormula>VLOOKUP(Tableau_donnees_elec[[#This Row],[ANNÉE]],Tableau6[],2,FALSE)*Tableau_donnees_elec[[#This Row],[Poste '[4'] ]]</calculatedColumnFormula>
    </tableColumn>
    <tableColumn id="29" xr3:uid="{1DF58BF6-97CB-44E8-A7DC-B969F3938FE0}" name="Coût Poste [6]" dataDxfId="121">
      <calculatedColumnFormula>VLOOKUP(Tableau_donnees_elec[[#This Row],[ANNÉE]],Tableau6[],2,FALSE)*Tableau_donnees_elec[[#This Row],[Poste '[6']]]</calculatedColumnFormula>
    </tableColumn>
    <tableColumn id="30" xr3:uid="{93F0185C-C6FE-402C-AC28-13A6A62CBE3E}" name="Coût Poste [7]" dataDxfId="120">
      <calculatedColumnFormula>VLOOKUP(Tableau_donnees_elec[[#This Row],[ANNÉE]],Tableau6[],2,FALSE)*Tableau_donnees_elec[[#This Row],[Poste '[7'] ]]</calculatedColumnFormula>
    </tableColumn>
    <tableColumn id="31" xr3:uid="{2F3B704E-DD58-4000-B283-F0326DF0BBE1}" name="Coût Poste [8] " dataDxfId="119">
      <calculatedColumnFormula>VLOOKUP(Tableau_donnees_elec[[#This Row],[ANNÉE]],Tableau6[],2,FALSE)*Tableau_donnees_elec[[#This Row],[Poste '[8']]]</calculatedColumnFormula>
    </tableColumn>
    <tableColumn id="32" xr3:uid="{111B0C94-B02C-46A3-9CD3-B53F891D5C49}" name="Coût Poste [9]" dataDxfId="118">
      <calculatedColumnFormula>VLOOKUP(Tableau_donnees_elec[[#This Row],[ANNÉE]],Tableau6[],2,FALSE)*Tableau_donnees_elec[[#This Row],[Poste '[9']]]</calculatedColumnFormula>
    </tableColumn>
    <tableColumn id="33" xr3:uid="{54FBAA86-62AF-47AD-9438-6FE9F875D00F}" name="Coût Poste [10]" dataDxfId="117">
      <calculatedColumnFormula>VLOOKUP(Tableau_donnees_elec[[#This Row],[ANNÉE]],Tableau6[],2,FALSE)*Tableau_donnees_elec[[#This Row],[Poste '[10']]]</calculatedColumnFormula>
    </tableColumn>
    <tableColumn id="34" xr3:uid="{6FADEB37-8C35-4829-B853-65C350F7BB28}" name="Coût Poste [11]" dataDxfId="116">
      <calculatedColumnFormula>VLOOKUP(Tableau_donnees_elec[[#This Row],[ANNÉE]],Tableau6[],2,FALSE)*Tableau_donnees_elec[[#This Row],[Poste '[11']]]</calculatedColumnFormula>
    </tableColumn>
    <tableColumn id="35" xr3:uid="{076C4072-8101-4EAD-92C7-DAAD2F89943A}" name="Coût Poste [12]" dataDxfId="115">
      <calculatedColumnFormula>VLOOKUP(Tableau_donnees_elec[[#This Row],[ANNÉE]],Tableau6[],2,FALSE)*Tableau_donnees_elec[[#This Row],[Poste '[12']]]</calculatedColumnFormula>
    </tableColumn>
    <tableColumn id="36" xr3:uid="{528F8658-3481-4D26-AEF7-2ECEC68FBB98}" name="Coût Poste [13]" dataDxfId="114">
      <calculatedColumnFormula>VLOOKUP(Tableau_donnees_elec[[#This Row],[ANNÉE]],Tableau6[],2,FALSE)*Tableau_donnees_elec[[#This Row],[Poste '[13']]]</calculatedColumnFormula>
    </tableColumn>
    <tableColumn id="37" xr3:uid="{A3A271AB-CBA8-4579-BF4F-F9A7947ED554}" name="Coût Poste [14]" dataDxfId="113">
      <calculatedColumnFormula>VLOOKUP(Tableau_donnees_elec[[#This Row],[ANNÉE]],Tableau6[],2,FALSE)*Tableau_donnees_elec[[#This Row],[Poste '[14']]]</calculatedColumnFormula>
    </tableColumn>
    <tableColumn id="38" xr3:uid="{634EDDDF-DAF6-4BDE-925D-8BEB2DA1A706}" name="Coût Poste [15]" dataDxfId="112">
      <calculatedColumnFormula>VLOOKUP(Tableau_donnees_elec[[#This Row],[ANNÉE]],Tableau6[],2,FALSE)*Tableau_donnees_elec[[#This Row],[Poste '[15']]]</calculatedColumnFormula>
    </tableColumn>
    <tableColumn id="39" xr3:uid="{2AA2E626-0FA1-4F03-A6EA-D0B3C9DACB1F}" name="Coût Poste [16]" dataDxfId="111">
      <calculatedColumnFormula>VLOOKUP(Tableau_donnees_elec[[#This Row],[ANNÉE]],Tableau6[],2,FALSE)*Tableau_donnees_elec[[#This Row],[Poste '[16']]]</calculatedColumnFormula>
    </tableColumn>
    <tableColumn id="40" xr3:uid="{6A7AFF5E-6A73-4244-B22A-83E54C2B25BF}" name="Coût Poste [17]" dataDxfId="110">
      <calculatedColumnFormula>VLOOKUP(Tableau_donnees_elec[[#This Row],[ANNÉE]],Tableau6[],2,FALSE)*Tableau_donnees_elec[[#This Row],[Poste '[17']]]</calculatedColumnFormula>
    </tableColumn>
    <tableColumn id="41" xr3:uid="{D20C966E-FD02-4FB5-996F-A88411AE25DD}" name="Coût Poste [18]" dataDxfId="109">
      <calculatedColumnFormula>VLOOKUP(Tableau_donnees_elec[[#This Row],[ANNÉE]],Tableau6[],2,FALSE)*Tableau_donnees_elec[[#This Row],[Poste '[18']]]</calculatedColumnFormula>
    </tableColumn>
    <tableColumn id="42" xr3:uid="{DE00C68D-33D9-401A-9F1B-4CF0DEFFEFE1}" name="Coût Poste [19]" dataDxfId="108">
      <calculatedColumnFormula>VLOOKUP(Tableau_donnees_elec[[#This Row],[ANNÉE]],Tableau6[],2,FALSE)*Tableau_donnees_elec[[#This Row],[Poste '[19']]]</calculatedColumnFormula>
    </tableColumn>
    <tableColumn id="43" xr3:uid="{42A49D05-C7FA-416F-8DC3-B0572F86D024}" name="Coût Poste [20]" dataDxfId="107">
      <calculatedColumnFormula>VLOOKUP(Tableau_donnees_elec[[#This Row],[ANNÉE]],Tableau6[],2,FALSE)*Tableau_donnees_elec[[#This Row],[Poste '[20']]]</calculatedColumnFormula>
    </tableColumn>
    <tableColumn id="44" xr3:uid="{28A414E0-E3E3-4AC6-AF42-0D612908B239}" name="Coût Total" dataDxfId="106">
      <calculatedColumnFormula>VLOOKUP(Tableau_donnees_elec[[#This Row],[ANNÉE]],Tableau6[],2,FALSE)*Tableau_donnees_elec[[#This Row],[Total]]</calculatedColumnFormula>
    </tableColumn>
    <tableColumn id="45" xr3:uid="{03D03321-F9FE-4C83-BC9D-1BB8559F3190}" name="MOIS" dataDxfId="105">
      <calculatedColumnFormula>TEXT(Tableau_donnees_elec[[#This Row],[Mois/Année ]],"mmmm")</calculatedColumnFormula>
    </tableColumn>
    <tableColumn id="46" xr3:uid="{D17249DC-4235-41E3-A18F-7FB8B4C2ABEA}" name="ANNÉE" dataDxfId="104">
      <calculatedColumnFormula>YEAR(Tableau_donnees_elec[[#This Row],[Mois/Année ]])</calculatedColumnFormula>
    </tableColumn>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F49F11-46DB-4F62-AD75-FC17A1B34F4B}" name="Tableau_donnes_gaz" displayName="Tableau_donnes_gaz" ref="A16:AT19" totalsRowShown="0" headerRowDxfId="103" dataDxfId="102">
  <autoFilter ref="A16:AT19" xr:uid="{A6C78F51-7323-4441-9814-262BF7841DBB}"/>
  <tableColumns count="46">
    <tableColumn id="1" xr3:uid="{E8B788C7-7652-423A-BA75-FB6A8DEF2ABA}" name="Mois/Année " dataDxfId="101"/>
    <tableColumn id="2" xr3:uid="{9D1994A7-88D2-4B79-89D9-03ED2001F0E8}" name="Commentaire " dataDxfId="100"/>
    <tableColumn id="3" xr3:uid="{C0092861-81B0-469F-B9FF-07220918DA3D}" name="Poste [1]" dataDxfId="99"/>
    <tableColumn id="4" xr3:uid="{238BBA01-8FA7-4B2B-9382-8FEAC51E40B5}" name="Poste [2]" dataDxfId="98"/>
    <tableColumn id="5" xr3:uid="{DFCB7EA7-FB01-4098-95C1-AEF639CF9B64}" name="Poste [3]" dataDxfId="97"/>
    <tableColumn id="6" xr3:uid="{C1CC8EC3-31A6-4DC8-95B0-099BAAC17EB8}" name="Poste [4]" dataDxfId="96"/>
    <tableColumn id="7" xr3:uid="{6ABE42A4-37BD-4C43-A2EE-982BCF0034B3}" name="Poste [5]" dataDxfId="95"/>
    <tableColumn id="8" xr3:uid="{A3BA34B3-4B0D-453B-9AA3-58A712E498A1}" name="Poste [6]" dataDxfId="94"/>
    <tableColumn id="9" xr3:uid="{2C4EDDDB-47EE-4D53-B6C8-C873A57F679F}" name="Poste [7]" dataDxfId="93"/>
    <tableColumn id="10" xr3:uid="{969A089D-8DB4-4FF6-BEEA-3890F3D2AA03}" name="Poste [8]" dataDxfId="92"/>
    <tableColumn id="11" xr3:uid="{E159CEBA-ED38-49B7-8411-A58F9773F1E4}" name="Poste [9]" dataDxfId="91"/>
    <tableColumn id="12" xr3:uid="{F831A1EE-869C-4B87-82B6-CB992946788E}" name="Poste [10]" dataDxfId="90"/>
    <tableColumn id="13" xr3:uid="{5B73C427-AE1F-46B6-8144-D37208124E12}" name="Poste [11]" dataDxfId="89"/>
    <tableColumn id="14" xr3:uid="{FB7D66E0-F327-4CF7-B6A1-5EDA50A59FE4}" name="Poste [12]" dataDxfId="88"/>
    <tableColumn id="15" xr3:uid="{BDE4EAEE-A2F6-4CC3-A3A0-6C54778C0829}" name="Poste [13]" dataDxfId="87"/>
    <tableColumn id="16" xr3:uid="{6D31DAC7-EA92-4C16-9CBE-5A483DBE7AAE}" name="Poste [14]" dataDxfId="86"/>
    <tableColumn id="17" xr3:uid="{7A1DBF3A-2B2E-4A28-8334-F3BC40404048}" name="Poste [15]" dataDxfId="85"/>
    <tableColumn id="18" xr3:uid="{482FD25F-5D7D-4242-9CB9-B249CF7D5E77}" name="Poste [16]" dataDxfId="84"/>
    <tableColumn id="19" xr3:uid="{1B831ACC-938F-4391-8D04-86B62714104C}" name="Poste [17]" dataDxfId="83"/>
    <tableColumn id="20" xr3:uid="{CDC71CAE-88F2-4239-BC5D-5EE0DBCC24C0}" name="Poste [18]" dataDxfId="82"/>
    <tableColumn id="21" xr3:uid="{AB36C5D8-5BA8-480C-AF3C-1665E57DF339}" name="Poste [19]" dataDxfId="81"/>
    <tableColumn id="22" xr3:uid="{CDE02C82-8813-4505-BE7E-73F9D3A7BFCF}" name="Poste [20]" dataDxfId="80"/>
    <tableColumn id="23" xr3:uid="{9C0FF4F3-1343-473A-865A-9E7D925FB794}" name="Total" dataDxfId="79">
      <calculatedColumnFormula>SUM(Tableau_donnes_gaz[[#This Row],[Poste '[1']]:[Poste '[20']]])</calculatedColumnFormula>
    </tableColumn>
    <tableColumn id="24" xr3:uid="{AECEB9D3-A238-4B6A-B014-E8BD079CB37B}" name="Coût Poste [1]" dataDxfId="78">
      <calculatedColumnFormula>VLOOKUP(Tableau_donnes_gaz[[#This Row],[ANNÉE]],Tableau6[],4,FALSE)*Tableau_donnes_gaz[[#This Row],[Poste '[1']]]</calculatedColumnFormula>
    </tableColumn>
    <tableColumn id="25" xr3:uid="{9E4FC150-BB62-47E8-8596-1769ED48C7EA}" name="Coût Poste [2]" dataDxfId="77">
      <calculatedColumnFormula>VLOOKUP(Tableau_donnes_gaz[[#This Row],[ANNÉE]],Tableau6[],4,FALSE)*Tableau_donnes_gaz[[#This Row],[Poste '[2']]]</calculatedColumnFormula>
    </tableColumn>
    <tableColumn id="26" xr3:uid="{94385FEE-DCE5-40D8-8C91-B4072137720E}" name="Coût Poste [3]" dataDxfId="76">
      <calculatedColumnFormula>VLOOKUP(Tableau_donnes_gaz[[#This Row],[ANNÉE]],Tableau6[],4,FALSE)*Tableau_donnes_gaz[[#This Row],[Poste '[3']]]</calculatedColumnFormula>
    </tableColumn>
    <tableColumn id="27" xr3:uid="{3D6083CD-46E8-4FF8-BC3B-8771F2889616}" name="Coût Poste [4]" dataDxfId="75">
      <calculatedColumnFormula>VLOOKUP(Tableau_donnes_gaz[[#This Row],[ANNÉE]],Tableau6[],4,FALSE)*Tableau_donnes_gaz[[#This Row],[Poste '[4']]]</calculatedColumnFormula>
    </tableColumn>
    <tableColumn id="28" xr3:uid="{8EC6ED63-418F-49C5-B68B-A56A0868A160}" name="Coût Poste [5]" dataDxfId="74">
      <calculatedColumnFormula>VLOOKUP(Tableau_donnes_gaz[[#This Row],[ANNÉE]],Tableau6[],4,FALSE)*Tableau_donnes_gaz[[#This Row],[Poste '[4']]]</calculatedColumnFormula>
    </tableColumn>
    <tableColumn id="29" xr3:uid="{14BFDF31-2EF5-47EC-A46C-C22981E80BA1}" name="Coût Poste [6]" dataDxfId="73">
      <calculatedColumnFormula>VLOOKUP(Tableau_donnes_gaz[[#This Row],[ANNÉE]],Tableau6[],4,FALSE)*Tableau_donnes_gaz[[#This Row],[Poste '[6']]]</calculatedColumnFormula>
    </tableColumn>
    <tableColumn id="30" xr3:uid="{EF790E31-85A8-4D41-B135-F8DB810DC9A8}" name="Coût Poste [7]" dataDxfId="72">
      <calculatedColumnFormula>VLOOKUP(Tableau_donnes_gaz[[#This Row],[ANNÉE]],Tableau6[],4,FALSE)*Tableau_donnes_gaz[[#This Row],[Poste '[7']]]</calculatedColumnFormula>
    </tableColumn>
    <tableColumn id="31" xr3:uid="{AB5E5744-E97C-4336-B671-1F5EDB59499B}" name="Coût Poste [8]" dataDxfId="71">
      <calculatedColumnFormula>VLOOKUP(Tableau_donnes_gaz[[#This Row],[ANNÉE]],Tableau6[],4,FALSE)*Tableau_donnes_gaz[[#This Row],[Poste '[8']]]</calculatedColumnFormula>
    </tableColumn>
    <tableColumn id="32" xr3:uid="{2ACE6025-BDC1-40E8-B5C2-0CEDB4214958}" name="Coût Poste [9]" dataDxfId="70">
      <calculatedColumnFormula>VLOOKUP(Tableau_donnes_gaz[[#This Row],[ANNÉE]],Tableau6[],4,FALSE)*Tableau_donnes_gaz[[#This Row],[Poste '[9']]]</calculatedColumnFormula>
    </tableColumn>
    <tableColumn id="33" xr3:uid="{100740F7-F202-41DC-8CC3-34DAFF5788C7}" name="Coût Poste [10]" dataDxfId="69">
      <calculatedColumnFormula>VLOOKUP(Tableau_donnes_gaz[[#This Row],[ANNÉE]],Tableau6[],4,FALSE)*Tableau_donnes_gaz[[#This Row],[Poste '[10']]]</calculatedColumnFormula>
    </tableColumn>
    <tableColumn id="34" xr3:uid="{C40BD6A8-FA53-482F-8447-CD0EDBBD9C0D}" name="Coût Poste [11]" dataDxfId="68">
      <calculatedColumnFormula>VLOOKUP(Tableau_donnes_gaz[[#This Row],[ANNÉE]],Tableau6[],4,FALSE)*Tableau_donnes_gaz[[#This Row],[Poste '[11']]]</calculatedColumnFormula>
    </tableColumn>
    <tableColumn id="35" xr3:uid="{A59848EB-345F-489F-B5DF-8936D315864C}" name="Coût Poste [12]" dataDxfId="67">
      <calculatedColumnFormula>VLOOKUP(Tableau_donnes_gaz[[#This Row],[ANNÉE]],Tableau6[],4,FALSE)*Tableau_donnes_gaz[[#This Row],[Poste '[12']]]</calculatedColumnFormula>
    </tableColumn>
    <tableColumn id="36" xr3:uid="{2114FE9A-C3EB-4A49-A501-F72AB7A34C84}" name="Coût Poste [13]" dataDxfId="66">
      <calculatedColumnFormula>VLOOKUP(Tableau_donnes_gaz[[#This Row],[ANNÉE]],Tableau6[],4,FALSE)*Tableau_donnes_gaz[[#This Row],[Poste '[13']]]</calculatedColumnFormula>
    </tableColumn>
    <tableColumn id="37" xr3:uid="{001BB4CE-35AE-4626-8719-533BBB60806D}" name="Coût Poste [14]" dataDxfId="65">
      <calculatedColumnFormula>VLOOKUP(Tableau_donnes_gaz[[#This Row],[ANNÉE]],Tableau6[],4,FALSE)*Tableau_donnes_gaz[[#This Row],[Poste '[14']]]</calculatedColumnFormula>
    </tableColumn>
    <tableColumn id="38" xr3:uid="{5E781921-D577-472B-ABBA-3ABDA07F3463}" name="Coût Poste [15]" dataDxfId="64">
      <calculatedColumnFormula>VLOOKUP(Tableau_donnes_gaz[[#This Row],[ANNÉE]],Tableau6[],4,FALSE)*Tableau_donnes_gaz[[#This Row],[Poste '[15']]]</calculatedColumnFormula>
    </tableColumn>
    <tableColumn id="39" xr3:uid="{BBE2FDBE-D8C2-4EFD-9233-C16E736FBF0E}" name="Coût Poste [16]" dataDxfId="63">
      <calculatedColumnFormula>VLOOKUP(Tableau_donnes_gaz[[#This Row],[ANNÉE]],Tableau6[],4,FALSE)*Tableau_donnes_gaz[[#This Row],[Poste '[16']]]</calculatedColumnFormula>
    </tableColumn>
    <tableColumn id="40" xr3:uid="{44A63208-1054-4235-94D1-B08A79214DD2}" name="Coût Poste [17]" dataDxfId="62">
      <calculatedColumnFormula>VLOOKUP(Tableau_donnes_gaz[[#This Row],[ANNÉE]],Tableau6[],4,FALSE)*Tableau_donnes_gaz[[#This Row],[Poste '[17']]]</calculatedColumnFormula>
    </tableColumn>
    <tableColumn id="41" xr3:uid="{136F7EBE-27D7-454C-9B70-2FE06F6EF719}" name="Coût Poste [18]" dataDxfId="61">
      <calculatedColumnFormula>VLOOKUP(Tableau_donnes_gaz[[#This Row],[ANNÉE]],Tableau6[],4,FALSE)*Tableau_donnes_gaz[[#This Row],[Poste '[18']]]</calculatedColumnFormula>
    </tableColumn>
    <tableColumn id="42" xr3:uid="{226FAA7F-236F-499A-A045-3C85BDCEDAC7}" name="Coût Poste [19]" dataDxfId="60">
      <calculatedColumnFormula>VLOOKUP(Tableau_donnes_gaz[[#This Row],[ANNÉE]],Tableau6[],4,FALSE)*Tableau_donnes_gaz[[#This Row],[Poste '[19']]]</calculatedColumnFormula>
    </tableColumn>
    <tableColumn id="43" xr3:uid="{8F4C7214-E717-4813-86B0-1B83B196DB31}" name="Coût Poste [20]" dataDxfId="59">
      <calculatedColumnFormula>VLOOKUP(Tableau_donnes_gaz[[#This Row],[ANNÉE]],Tableau6[],4,FALSE)*Tableau_donnes_gaz[[#This Row],[Poste '[20']]]</calculatedColumnFormula>
    </tableColumn>
    <tableColumn id="44" xr3:uid="{ECA3484E-0289-4AEB-803C-EB0DD3FE2428}" name="Coût Total" dataDxfId="58">
      <calculatedColumnFormula>VLOOKUP(Tableau_donnes_gaz[[#This Row],[ANNÉE]],Tableau6[],4,FALSE)*Tableau_donnes_gaz[[#This Row],[Total]]</calculatedColumnFormula>
    </tableColumn>
    <tableColumn id="45" xr3:uid="{C06EF821-C90E-405A-8E5D-C01BA96877E1}" name="MOIS" dataDxfId="57">
      <calculatedColumnFormula>TEXT(Tableau_donnes_gaz[[#This Row],[Mois/Année ]],"mmmm")</calculatedColumnFormula>
    </tableColumn>
    <tableColumn id="46" xr3:uid="{50566305-F20B-40BB-9687-F45F4DB6337E}" name="ANNÉE" dataDxfId="56">
      <calculatedColumnFormula>YEAR(Tableau_donnes_gaz[[#This Row],[Mois/Année ]])</calculatedColumnFormula>
    </tableColumn>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1E69E6-F29E-4022-AD0D-EEF329D72829}" name="Tableau_donnees_eau" displayName="Tableau_donnees_eau" ref="A16:AT19" totalsRowShown="0" headerRowDxfId="55" dataDxfId="54">
  <autoFilter ref="A16:AT19" xr:uid="{A6C78F51-7323-4441-9814-262BF7841DBB}"/>
  <tableColumns count="46">
    <tableColumn id="1" xr3:uid="{668A0069-4B3B-4D2B-9B00-D940EFD0CAE2}" name="Mois/Année " dataDxfId="53"/>
    <tableColumn id="2" xr3:uid="{E49729A0-53E6-4568-9E6F-C6F59EE036DC}" name="Commentaire " dataDxfId="52"/>
    <tableColumn id="3" xr3:uid="{39B442C8-ECF2-4BA6-94D5-CCF07D49C4E1}" name="Poste [1]" dataDxfId="51"/>
    <tableColumn id="4" xr3:uid="{87D78075-C185-4592-B13C-61CD183A7E85}" name="Poste [2]" dataDxfId="50"/>
    <tableColumn id="5" xr3:uid="{F1362F29-9E68-4340-BBA2-6B7FC11B9A86}" name="Poste [3]" dataDxfId="49"/>
    <tableColumn id="6" xr3:uid="{5A8D5BB6-CC5E-45B2-88D6-7ED1DEB2AC7D}" name="Poste [4]" dataDxfId="48"/>
    <tableColumn id="7" xr3:uid="{AFCD2518-0429-4678-A970-26A892A48AA5}" name="Poste [5]" dataDxfId="47"/>
    <tableColumn id="8" xr3:uid="{BB9B1400-0C84-4B19-9EB8-1E4965E0881D}" name="Poste [6]" dataDxfId="46"/>
    <tableColumn id="9" xr3:uid="{346AD33D-DE2A-4B0E-8AD8-CB2D5C35354C}" name="Poste [7]" dataDxfId="45"/>
    <tableColumn id="10" xr3:uid="{577FD114-AE4C-4D36-9887-CB5FDBC707DB}" name="Poste [8]" dataDxfId="44"/>
    <tableColumn id="11" xr3:uid="{731E17DB-FBDF-4CAC-972A-8B09DAD6EE8A}" name="Poste [9]" dataDxfId="43"/>
    <tableColumn id="12" xr3:uid="{EC14C5E4-226A-4B86-853F-20DF8A05BEDD}" name="Poste [10]" dataDxfId="42"/>
    <tableColumn id="13" xr3:uid="{95D56638-7725-4685-9BED-ABF6E39FBD32}" name="Poste [11]" dataDxfId="41"/>
    <tableColumn id="14" xr3:uid="{EA0E9D39-0475-4FB2-BB0F-3176541AE18F}" name="Poste [12]" dataDxfId="40"/>
    <tableColumn id="15" xr3:uid="{9F91163D-7A87-4C45-B8F7-1106FFD9287B}" name="Poste [13]" dataDxfId="39"/>
    <tableColumn id="16" xr3:uid="{CA6C9030-7928-4F8F-87CD-03F2D82DB1AF}" name="Poste [14]" dataDxfId="38"/>
    <tableColumn id="17" xr3:uid="{AE344B46-3BC3-4187-BF9B-6DFE45ABFADA}" name="Poste [15]" dataDxfId="37"/>
    <tableColumn id="18" xr3:uid="{3F018844-CA59-447B-88A2-A72A43CE7051}" name="Poste [16]" dataDxfId="36"/>
    <tableColumn id="19" xr3:uid="{B821A163-EDD7-4DF1-9FC0-B96E799C542C}" name="Poste [17]" dataDxfId="35"/>
    <tableColumn id="20" xr3:uid="{4396099A-6BE1-48AA-A859-7BF09D2A2BDA}" name="Poste [18]" dataDxfId="34"/>
    <tableColumn id="21" xr3:uid="{24B36551-84DF-4EA2-922E-762B6474F3A0}" name="Poste [19]" dataDxfId="33"/>
    <tableColumn id="22" xr3:uid="{B97CEC9C-3746-4B16-A87C-FEE0495FDC3C}" name="Poste [20]" dataDxfId="32"/>
    <tableColumn id="23" xr3:uid="{EE3F2426-A95C-4BCE-9BB3-B4B3929F73A3}" name="Total" dataDxfId="31"/>
    <tableColumn id="24" xr3:uid="{C17A3E67-3700-43A5-BB8F-06B0BE9B46A6}" name="Coût Poste [1]" dataDxfId="30">
      <calculatedColumnFormula>VLOOKUP(Tableau_donnees_eau[[#This Row],[ANNÉE]],Tableau6[],3,FALSE)*Tableau_donnees_eau[[#This Row],[Poste '[1']]]</calculatedColumnFormula>
    </tableColumn>
    <tableColumn id="25" xr3:uid="{310A0DF5-0191-418C-AE68-5C08193EFB3E}" name="Coût Poste [2]" dataDxfId="29">
      <calculatedColumnFormula>VLOOKUP(Tableau_donnees_eau[[#This Row],[ANNÉE]],Tableau6[],3,FALSE)*Tableau_donnees_eau[[#This Row],[Poste '[2']]]</calculatedColumnFormula>
    </tableColumn>
    <tableColumn id="26" xr3:uid="{60B355AC-6440-4CE4-ACFD-5488CCC0CF6F}" name="Coût Poste [3]" dataDxfId="28">
      <calculatedColumnFormula>VLOOKUP(Tableau_donnees_eau[[#This Row],[ANNÉE]],Tableau6[],3,FALSE)*Tableau_donnees_eau[[#This Row],[Poste '[3']]]</calculatedColumnFormula>
    </tableColumn>
    <tableColumn id="27" xr3:uid="{2E97E6F5-4032-4E75-B8CC-07441E258317}" name="Coût Poste [4]" dataDxfId="27">
      <calculatedColumnFormula>VLOOKUP(Tableau_donnees_eau[[#This Row],[ANNÉE]],Tableau6[],3,FALSE)*Tableau_donnees_eau[[#This Row],[Poste '[4']]]</calculatedColumnFormula>
    </tableColumn>
    <tableColumn id="28" xr3:uid="{F1431068-81BB-47AA-A430-4105CC097F5B}" name="Coût Poste [5]" dataDxfId="26">
      <calculatedColumnFormula>VLOOKUP(Tableau_donnees_eau[[#This Row],[ANNÉE]],Tableau6[],3,FALSE)*Tableau_donnees_eau[[#This Row],[Poste '[4']]]</calculatedColumnFormula>
    </tableColumn>
    <tableColumn id="29" xr3:uid="{4639F938-FD8C-4BDC-B281-16927C583F3E}" name="Coût Poste [6]" dataDxfId="25">
      <calculatedColumnFormula>VLOOKUP(Tableau_donnees_eau[[#This Row],[ANNÉE]],Tableau6[],3,FALSE)*Tableau_donnees_eau[[#This Row],[Poste '[6']]]</calculatedColumnFormula>
    </tableColumn>
    <tableColumn id="30" xr3:uid="{46B516B7-6FB2-4892-B997-267F90CEEF31}" name="Coût Poste [7]" dataDxfId="24">
      <calculatedColumnFormula>VLOOKUP(Tableau_donnees_eau[[#This Row],[ANNÉE]],Tableau6[],3,FALSE)*Tableau_donnees_eau[[#This Row],[Poste '[7']]]</calculatedColumnFormula>
    </tableColumn>
    <tableColumn id="31" xr3:uid="{181B5A4E-D6CC-456D-8740-79382D7CD1CD}" name="Coût Poste [8]" dataDxfId="23">
      <calculatedColumnFormula>VLOOKUP(Tableau_donnees_eau[[#This Row],[ANNÉE]],Tableau6[],3,FALSE)*Tableau_donnees_eau[[#This Row],[Poste '[8']]]</calculatedColumnFormula>
    </tableColumn>
    <tableColumn id="32" xr3:uid="{5B2F3C02-8359-44B4-9AB7-AB9E9C0E7D46}" name="Coût Poste [9]" dataDxfId="22">
      <calculatedColumnFormula>VLOOKUP(Tableau_donnees_eau[[#This Row],[ANNÉE]],Tableau6[],3,FALSE)*Tableau_donnees_eau[[#This Row],[Poste '[9']]]</calculatedColumnFormula>
    </tableColumn>
    <tableColumn id="33" xr3:uid="{6BC1D5B3-D647-4122-BC3A-2EA2515404D1}" name="Coût Poste [10]" dataDxfId="21">
      <calculatedColumnFormula>VLOOKUP(Tableau_donnees_eau[[#This Row],[ANNÉE]],Tableau6[],3,FALSE)*Tableau_donnees_eau[[#This Row],[Poste '[10']]]</calculatedColumnFormula>
    </tableColumn>
    <tableColumn id="34" xr3:uid="{A15B8B2C-9FB0-415F-8FDF-823846CEF06A}" name="Coût Poste [11]" dataDxfId="20">
      <calculatedColumnFormula>VLOOKUP(Tableau_donnees_eau[[#This Row],[ANNÉE]],Tableau6[],3,FALSE)*Tableau_donnees_eau[[#This Row],[Poste '[11']]]</calculatedColumnFormula>
    </tableColumn>
    <tableColumn id="35" xr3:uid="{E6A512E4-C3A5-4B86-A530-BDF4E2E235F7}" name="Coût Poste [12]" dataDxfId="19">
      <calculatedColumnFormula>VLOOKUP(Tableau_donnees_eau[[#This Row],[ANNÉE]],Tableau6[],3,FALSE)*Tableau_donnees_eau[[#This Row],[Poste '[12']]]</calculatedColumnFormula>
    </tableColumn>
    <tableColumn id="36" xr3:uid="{4A5F66B7-D704-4F5C-9F8B-0FB8BBFBDAF4}" name="Coût Poste [13]" dataDxfId="18">
      <calculatedColumnFormula>VLOOKUP(Tableau_donnees_eau[[#This Row],[ANNÉE]],Tableau6[],3,FALSE)*Tableau_donnees_eau[[#This Row],[Poste '[13']]]</calculatedColumnFormula>
    </tableColumn>
    <tableColumn id="37" xr3:uid="{CD7C1D39-CF23-4222-A9AE-7244AD981DDC}" name="Coût Poste [14]" dataDxfId="17">
      <calculatedColumnFormula>VLOOKUP(Tableau_donnees_eau[[#This Row],[ANNÉE]],Tableau6[],3,FALSE)*Tableau_donnees_eau[[#This Row],[Poste '[14']]]</calculatedColumnFormula>
    </tableColumn>
    <tableColumn id="38" xr3:uid="{630A7BEB-94E0-439F-8962-A9786E333BDC}" name="Coût Poste [15]" dataDxfId="16">
      <calculatedColumnFormula>VLOOKUP(Tableau_donnees_eau[[#This Row],[ANNÉE]],Tableau6[],3,FALSE)*Tableau_donnees_eau[[#This Row],[Poste '[15']]]</calculatedColumnFormula>
    </tableColumn>
    <tableColumn id="39" xr3:uid="{6E3C7A3A-6E5F-4026-B1C2-0D7FACF33BBE}" name="Coût Poste [16]" dataDxfId="15">
      <calculatedColumnFormula>VLOOKUP(Tableau_donnees_eau[[#This Row],[ANNÉE]],Tableau6[],3,FALSE)*Tableau_donnees_eau[[#This Row],[Poste '[16']]]</calculatedColumnFormula>
    </tableColumn>
    <tableColumn id="40" xr3:uid="{41EBC838-AF7A-4DFC-B68C-0DBBB1D3B06C}" name="Coût Poste [17]" dataDxfId="14">
      <calculatedColumnFormula>VLOOKUP(Tableau_donnees_eau[[#This Row],[ANNÉE]],Tableau6[],3,FALSE)*Tableau_donnees_eau[[#This Row],[Poste '[17']]]</calculatedColumnFormula>
    </tableColumn>
    <tableColumn id="41" xr3:uid="{D575385E-5A7D-4296-BC0B-3A5360A94818}" name="Coût Poste [18]" dataDxfId="13">
      <calculatedColumnFormula>VLOOKUP(Tableau_donnees_eau[[#This Row],[ANNÉE]],Tableau6[],3,FALSE)*Tableau_donnees_eau[[#This Row],[Poste '[18']]]</calculatedColumnFormula>
    </tableColumn>
    <tableColumn id="42" xr3:uid="{08AEAF9D-4825-4509-99D4-552ADABC632F}" name="Coût Poste [19]" dataDxfId="12">
      <calculatedColumnFormula>VLOOKUP(Tableau_donnees_eau[[#This Row],[ANNÉE]],Tableau6[],3,FALSE)*Tableau_donnees_eau[[#This Row],[Poste '[19']]]</calculatedColumnFormula>
    </tableColumn>
    <tableColumn id="43" xr3:uid="{8E43A15C-D54B-4B90-9530-84CC8C32F144}" name="Coût Poste [20]" dataDxfId="11">
      <calculatedColumnFormula>VLOOKUP(Tableau_donnees_eau[[#This Row],[ANNÉE]],Tableau6[],3,FALSE)*Tableau_donnees_eau[[#This Row],[Poste '[20']]]</calculatedColumnFormula>
    </tableColumn>
    <tableColumn id="44" xr3:uid="{D185ACF7-9669-4CFA-A775-42BA06F0C66F}" name="Coût Total" dataDxfId="10">
      <calculatedColumnFormula>VLOOKUP(Tableau_donnees_eau[[#This Row],[ANNÉE]],Tableau6[],3,FALSE)*Tableau_donnees_eau[[#This Row],[Total]]</calculatedColumnFormula>
    </tableColumn>
    <tableColumn id="45" xr3:uid="{74D267D4-2E30-4CD0-B292-AAE5FED37C6B}" name="MOIS" dataDxfId="9">
      <calculatedColumnFormula>TEXT(Tableau_donnees_eau[[#This Row],[Mois/Année ]],"mmmm")</calculatedColumnFormula>
    </tableColumn>
    <tableColumn id="46" xr3:uid="{355D7247-D244-4982-9199-DDDFC9B2D472}" name="ANNÉE" dataDxfId="8">
      <calculatedColumnFormula>YEAR(Tableau_donnees_eau[[#This Row],[Mois/Année ]])</calculatedColumnFormula>
    </tableColumn>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2191A5-F37D-4387-880C-02D8CF615843}" name="Tableau6" displayName="Tableau6" ref="B7:E12" totalsRowShown="0" headerRowDxfId="7" dataDxfId="6">
  <autoFilter ref="B7:E12" xr:uid="{1A2191A5-F37D-4387-880C-02D8CF615843}"/>
  <tableColumns count="4">
    <tableColumn id="1" xr3:uid="{2494A509-05C0-4EE1-BF6B-86DBD5EEC71B}" name="Années " dataDxfId="5"/>
    <tableColumn id="2" xr3:uid="{435BCF56-0311-4782-A077-E268B9E775E6}" name="Electricité" dataDxfId="4"/>
    <tableColumn id="3" xr3:uid="{110904DC-828B-4020-AECF-986B480B2DED}" name="Eau" dataDxfId="3"/>
    <tableColumn id="4" xr3:uid="{3393FD2E-25DD-4647-A18E-41786A559278}" name="Gaz" dataDxfId="2"/>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ChronologieNative_Mois_Année" xr10:uid="{33F5D8E3-5132-4004-8DF5-7A97C5B59889}" sourceName="Mois/Année ">
  <pivotTables>
    <pivotTable tabId="18" name="Tab_Secteur_Conso_postes_ELEC(7)"/>
    <pivotTable tabId="17" name="Tab_Evolution_Conso_Postes_ELEC(6)"/>
  </pivotTables>
  <state minimalRefreshVersion="6" lastRefreshVersion="6" pivotCacheId="225776657" filterType="unknown">
    <bounds startDate="2022-01-01T00:00:00" endDate="2023-01-01T00:00:00"/>
  </state>
</timelineCacheDefinition>
</file>

<file path=xl/timelineCaches/timelineCache2.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ChronologieNative_Mois_Année2" xr10:uid="{7C8D6625-1A42-4603-9735-21DACAA0755E}" sourceName="Mois/Année ">
  <pivotTables>
    <pivotTable tabId="28" name="Tab_evolution_conso_postes_GAZ(20)"/>
    <pivotTable tabId="29" name="Tab_secteur_conso_postes_GAZ(21)"/>
  </pivotTables>
  <state minimalRefreshVersion="6" lastRefreshVersion="6" pivotCacheId="1334326007" filterType="dateBetween">
    <selection startDate="2022-07-01T00:00:00" endDate="2023-07-31T00:00:00"/>
    <bounds startDate="2022-01-01T00:00:00" endDate="2023-01-01T00:00:00"/>
  </state>
</timelineCacheDefinition>
</file>

<file path=xl/timelineCaches/timelineCache3.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ChronologieNative_Mois_Année1" xr10:uid="{2D26DC85-9A6E-4791-A1FD-617DA623A425}" sourceName="Mois/Année ">
  <pivotTables>
    <pivotTable tabId="23" name="Tab_evolution_conso_postes_EAU(13)"/>
    <pivotTable tabId="24" name="Tab_secteur_conso_postes_EAU(14)"/>
  </pivotTables>
  <state minimalRefreshVersion="6" lastRefreshVersion="6" pivotCacheId="1956454398" filterType="dateBetween">
    <selection startDate="2022-09-01T00:00:00" endDate="2022-09-30T00:00:00"/>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Mois/Année " xr10:uid="{96240E1E-86C6-4227-875C-6BF3AC41C412}" cache="ChronologieNative_Mois_Année" caption="Mois/Année " showHeader="0" showHorizontalScrollbar="0" level="2" selectionLevel="2" scrollPosition="2022-01-01T00:00:00" style="TimeSlicerStyleLight4"/>
</timelines>
</file>

<file path=xl/timelines/timeline2.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Mois/Année  2" xr10:uid="{22F56B64-380E-4F87-BE8C-120341778D2B}" cache="ChronologieNative_Mois_Année2" caption="Mois/Année " showHeader="0" showHorizontalScrollbar="0" level="2" selectionLevel="2" scrollPosition="2022-01-01T00:00:00" style="TimeSlicerStyleDark2"/>
</timelines>
</file>

<file path=xl/timelines/timeline3.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Mois/Année  1" xr10:uid="{7A23445B-915B-46D4-910D-86525AB035BF}" cache="ChronologieNative_Mois_Année1" caption="Mois/Année " showHeader="0" showHorizontalScrollbar="0" level="2" selectionLevel="2" scrollPosition="2022-01-01T00:00:00"/>
</timeline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microsoft.com/office/2011/relationships/timeline" Target="../timelines/timeline1.xml"/><Relationship Id="rId2" Type="http://schemas.microsoft.com/office/2007/relationships/slicer" Target="../slicers/slicer1.x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18.xml"/></Relationships>
</file>

<file path=xl/worksheets/_rels/sheet21.xml.rels><?xml version="1.0" encoding="UTF-8" standalone="yes"?>
<Relationships xmlns="http://schemas.openxmlformats.org/package/2006/relationships"><Relationship Id="rId1" Type="http://schemas.openxmlformats.org/officeDocument/2006/relationships/pivotTable" Target="../pivotTables/pivotTable19.xml"/></Relationships>
</file>

<file path=xl/worksheets/_rels/sheet22.xml.rels><?xml version="1.0" encoding="UTF-8" standalone="yes"?>
<Relationships xmlns="http://schemas.openxmlformats.org/package/2006/relationships"><Relationship Id="rId1" Type="http://schemas.openxmlformats.org/officeDocument/2006/relationships/pivotTable" Target="../pivotTables/pivotTable20.xml"/></Relationships>
</file>

<file path=xl/worksheets/_rels/sheet23.xml.rels><?xml version="1.0" encoding="UTF-8" standalone="yes"?>
<Relationships xmlns="http://schemas.openxmlformats.org/package/2006/relationships"><Relationship Id="rId1" Type="http://schemas.openxmlformats.org/officeDocument/2006/relationships/pivotTable" Target="../pivotTables/pivotTable21.xml"/></Relationships>
</file>

<file path=xl/worksheets/_rels/sheet3.xml.rels><?xml version="1.0" encoding="UTF-8" standalone="yes"?>
<Relationships xmlns="http://schemas.openxmlformats.org/package/2006/relationships"><Relationship Id="rId3" Type="http://schemas.microsoft.com/office/2011/relationships/timeline" Target="../timelines/timeline2.xml"/><Relationship Id="rId2" Type="http://schemas.microsoft.com/office/2007/relationships/slicer" Target="../slicers/slicer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microsoft.com/office/2011/relationships/timeline" Target="../timelines/timeline3.xml"/><Relationship Id="rId2" Type="http://schemas.microsoft.com/office/2007/relationships/slicer" Target="../slicers/slicer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2D0A-80E7-44EF-8CF9-5BE2C7AE1211}">
  <dimension ref="B1:U25"/>
  <sheetViews>
    <sheetView showGridLines="0" tabSelected="1" workbookViewId="0">
      <selection activeCell="I5" sqref="I5"/>
    </sheetView>
  </sheetViews>
  <sheetFormatPr baseColWidth="10" defaultColWidth="0" defaultRowHeight="15" zeroHeight="1" x14ac:dyDescent="0.25"/>
  <cols>
    <col min="1" max="21" width="11.42578125" customWidth="1"/>
    <col min="22" max="16384" width="11.42578125" hidden="1"/>
  </cols>
  <sheetData>
    <row r="1" spans="2:21" x14ac:dyDescent="0.25"/>
    <row r="2" spans="2:21" x14ac:dyDescent="0.25"/>
    <row r="3" spans="2:21" x14ac:dyDescent="0.25"/>
    <row r="4" spans="2:21" ht="275.25" customHeight="1" x14ac:dyDescent="0.25">
      <c r="I4" s="36" t="s">
        <v>92</v>
      </c>
      <c r="J4" s="36"/>
      <c r="K4" s="36"/>
      <c r="L4" s="36"/>
      <c r="M4" s="36"/>
      <c r="N4" s="36"/>
      <c r="O4" s="36"/>
      <c r="P4" s="36"/>
      <c r="Q4" s="36"/>
      <c r="R4" s="36"/>
      <c r="S4" s="36"/>
      <c r="T4" s="36"/>
      <c r="U4" s="36"/>
    </row>
    <row r="5" spans="2:21" x14ac:dyDescent="0.25">
      <c r="J5" s="35"/>
    </row>
    <row r="6" spans="2:21" ht="15.75" customHeight="1" x14ac:dyDescent="0.25"/>
    <row r="7" spans="2:21" hidden="1" x14ac:dyDescent="0.25">
      <c r="B7" s="33"/>
    </row>
    <row r="24" spans="3:3" ht="318.75" hidden="1" x14ac:dyDescent="0.25">
      <c r="C24" s="34" t="s">
        <v>90</v>
      </c>
    </row>
    <row r="25" spans="3:3" ht="51" hidden="1" x14ac:dyDescent="0.25">
      <c r="C25" s="35" t="s">
        <v>91</v>
      </c>
    </row>
  </sheetData>
  <mergeCells count="1">
    <mergeCell ref="I4:U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18576-0F65-4DD0-BB71-D653DD5D6F22}">
  <sheetPr>
    <tabColor theme="4" tint="0.79998168889431442"/>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40" width="22.28515625" bestFit="1" customWidth="1"/>
    <col min="41" max="41" width="21.85546875" bestFit="1" customWidth="1"/>
    <col min="42" max="42" width="21.42578125" bestFit="1" customWidth="1"/>
    <col min="43" max="48" width="21.85546875" bestFit="1" customWidth="1"/>
    <col min="49" max="49" width="21.42578125" bestFit="1" customWidth="1"/>
    <col min="50" max="50" width="22.42578125" bestFit="1" customWidth="1"/>
    <col min="51" max="51" width="22.85546875" bestFit="1" customWidth="1"/>
    <col min="52" max="60" width="22.42578125" bestFit="1" customWidth="1"/>
  </cols>
  <sheetData>
    <row r="1" spans="1:2" ht="15.75" thickBot="1" x14ac:dyDescent="0.3"/>
    <row r="2" spans="1:2" ht="15.75" thickBot="1" x14ac:dyDescent="0.3">
      <c r="A2" s="16" t="s">
        <v>28</v>
      </c>
    </row>
    <row r="3" spans="1:2" x14ac:dyDescent="0.25">
      <c r="A3" s="7" t="s">
        <v>12</v>
      </c>
    </row>
    <row r="4" spans="1:2" x14ac:dyDescent="0.25">
      <c r="A4">
        <v>2022</v>
      </c>
      <c r="B4" t="s">
        <v>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10DF2-5567-4049-862A-589F8D1B29A2}">
  <sheetPr>
    <tabColor theme="4" tint="0.79998168889431442"/>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40" width="22.7109375" bestFit="1" customWidth="1"/>
    <col min="41" max="41" width="26.42578125" bestFit="1" customWidth="1"/>
    <col min="42" max="42" width="25.85546875" bestFit="1" customWidth="1"/>
    <col min="43" max="48" width="26.42578125" bestFit="1" customWidth="1"/>
    <col min="49" max="49" width="25.85546875" bestFit="1" customWidth="1"/>
    <col min="50" max="50" width="27" bestFit="1" customWidth="1"/>
    <col min="51" max="51" width="27.42578125" bestFit="1" customWidth="1"/>
    <col min="52" max="60" width="27" bestFit="1" customWidth="1"/>
  </cols>
  <sheetData>
    <row r="1" spans="1:2" ht="15.75" thickBot="1" x14ac:dyDescent="0.3"/>
    <row r="2" spans="1:2" ht="15.75" thickBot="1" x14ac:dyDescent="0.3">
      <c r="A2" s="11" t="s">
        <v>29</v>
      </c>
    </row>
    <row r="3" spans="1:2" x14ac:dyDescent="0.25">
      <c r="A3" s="7" t="s">
        <v>12</v>
      </c>
    </row>
    <row r="4" spans="1:2" x14ac:dyDescent="0.25">
      <c r="A4">
        <v>2022</v>
      </c>
      <c r="B4" t="s">
        <v>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BB953-8EA4-40BA-A22B-D7634C7C2F57}">
  <sheetPr>
    <tabColor theme="4" tint="0.79998168889431442"/>
  </sheetPr>
  <dimension ref="A1:A4"/>
  <sheetViews>
    <sheetView topLeftCell="A2" workbookViewId="0">
      <selection activeCell="C33" sqref="C33"/>
    </sheetView>
  </sheetViews>
  <sheetFormatPr baseColWidth="10" defaultRowHeight="15" x14ac:dyDescent="0.25"/>
  <cols>
    <col min="1" max="1" width="21" bestFit="1" customWidth="1"/>
    <col min="2" max="2" width="17.140625" bestFit="1" customWidth="1"/>
    <col min="3" max="3" width="16.7109375" bestFit="1" customWidth="1"/>
    <col min="4" max="9" width="17.140625" bestFit="1" customWidth="1"/>
    <col min="10" max="10" width="16.7109375" bestFit="1" customWidth="1"/>
    <col min="11" max="11" width="17.7109375" bestFit="1" customWidth="1"/>
    <col min="12" max="12" width="18.140625" bestFit="1" customWidth="1"/>
    <col min="13" max="21" width="17.7109375" bestFit="1" customWidth="1"/>
  </cols>
  <sheetData>
    <row r="1" spans="1:1" ht="15.75" thickBot="1" x14ac:dyDescent="0.3"/>
    <row r="2" spans="1:1" ht="15.75" thickBot="1" x14ac:dyDescent="0.3">
      <c r="A2" s="11" t="s">
        <v>30</v>
      </c>
    </row>
    <row r="3" spans="1:1" x14ac:dyDescent="0.25">
      <c r="A3" s="7" t="s">
        <v>10</v>
      </c>
    </row>
    <row r="4" spans="1:1" x14ac:dyDescent="0.25">
      <c r="A4" s="8" t="s">
        <v>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3D70-BB7B-449E-8831-0A2CC37F66CF}">
  <sheetPr>
    <tabColor theme="4" tint="0.79998168889431442"/>
  </sheetPr>
  <dimension ref="A1:C20"/>
  <sheetViews>
    <sheetView workbookViewId="0">
      <selection activeCell="C33" sqref="C33"/>
    </sheetView>
  </sheetViews>
  <sheetFormatPr baseColWidth="10" defaultRowHeight="15" x14ac:dyDescent="0.25"/>
  <cols>
    <col min="1" max="1" width="17.5703125" bestFit="1" customWidth="1"/>
    <col min="2" max="2" width="7" bestFit="1" customWidth="1"/>
    <col min="3" max="3" width="17.140625" bestFit="1" customWidth="1"/>
  </cols>
  <sheetData>
    <row r="1" spans="1:3" ht="15.75" thickBot="1" x14ac:dyDescent="0.3"/>
    <row r="2" spans="1:3" ht="15.75" thickBot="1" x14ac:dyDescent="0.3">
      <c r="A2" s="11" t="s">
        <v>31</v>
      </c>
    </row>
    <row r="3" spans="1:3" x14ac:dyDescent="0.25">
      <c r="A3" s="25"/>
      <c r="B3" s="26"/>
      <c r="C3" s="27"/>
    </row>
    <row r="4" spans="1:3" x14ac:dyDescent="0.25">
      <c r="A4" s="28"/>
      <c r="B4" s="21"/>
      <c r="C4" s="29"/>
    </row>
    <row r="5" spans="1:3" x14ac:dyDescent="0.25">
      <c r="A5" s="28"/>
      <c r="B5" s="21"/>
      <c r="C5" s="29"/>
    </row>
    <row r="6" spans="1:3" x14ac:dyDescent="0.25">
      <c r="A6" s="28"/>
      <c r="B6" s="21"/>
      <c r="C6" s="29"/>
    </row>
    <row r="7" spans="1:3" x14ac:dyDescent="0.25">
      <c r="A7" s="28"/>
      <c r="B7" s="21"/>
      <c r="C7" s="29"/>
    </row>
    <row r="8" spans="1:3" x14ac:dyDescent="0.25">
      <c r="A8" s="28"/>
      <c r="B8" s="21"/>
      <c r="C8" s="29"/>
    </row>
    <row r="9" spans="1:3" x14ac:dyDescent="0.25">
      <c r="A9" s="28"/>
      <c r="B9" s="21"/>
      <c r="C9" s="29"/>
    </row>
    <row r="10" spans="1:3" x14ac:dyDescent="0.25">
      <c r="A10" s="28"/>
      <c r="B10" s="21"/>
      <c r="C10" s="29"/>
    </row>
    <row r="11" spans="1:3" x14ac:dyDescent="0.25">
      <c r="A11" s="28"/>
      <c r="B11" s="21"/>
      <c r="C11" s="29"/>
    </row>
    <row r="12" spans="1:3" x14ac:dyDescent="0.25">
      <c r="A12" s="28"/>
      <c r="B12" s="21"/>
      <c r="C12" s="29"/>
    </row>
    <row r="13" spans="1:3" x14ac:dyDescent="0.25">
      <c r="A13" s="28"/>
      <c r="B13" s="21"/>
      <c r="C13" s="29"/>
    </row>
    <row r="14" spans="1:3" x14ac:dyDescent="0.25">
      <c r="A14" s="28"/>
      <c r="B14" s="21"/>
      <c r="C14" s="29"/>
    </row>
    <row r="15" spans="1:3" x14ac:dyDescent="0.25">
      <c r="A15" s="28"/>
      <c r="B15" s="21"/>
      <c r="C15" s="29"/>
    </row>
    <row r="16" spans="1:3" x14ac:dyDescent="0.25">
      <c r="A16" s="28"/>
      <c r="B16" s="21"/>
      <c r="C16" s="29"/>
    </row>
    <row r="17" spans="1:3" x14ac:dyDescent="0.25">
      <c r="A17" s="28"/>
      <c r="B17" s="21"/>
      <c r="C17" s="29"/>
    </row>
    <row r="18" spans="1:3" x14ac:dyDescent="0.25">
      <c r="A18" s="28"/>
      <c r="B18" s="21"/>
      <c r="C18" s="29"/>
    </row>
    <row r="19" spans="1:3" x14ac:dyDescent="0.25">
      <c r="A19" s="28"/>
      <c r="B19" s="21"/>
      <c r="C19" s="29"/>
    </row>
    <row r="20" spans="1:3" x14ac:dyDescent="0.25">
      <c r="A20" s="30"/>
      <c r="B20" s="31"/>
      <c r="C20" s="3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219A-C332-42FE-BA85-84D92612BEB4}">
  <sheetPr>
    <tabColor theme="5" tint="0.79998168889431442"/>
  </sheetPr>
  <dimension ref="A1:C27"/>
  <sheetViews>
    <sheetView topLeftCell="A19" workbookViewId="0">
      <selection activeCell="C33" sqref="C33"/>
    </sheetView>
  </sheetViews>
  <sheetFormatPr baseColWidth="10" defaultRowHeight="15" x14ac:dyDescent="0.25"/>
  <cols>
    <col min="1" max="1" width="20" bestFit="1" customWidth="1"/>
    <col min="2" max="2" width="23.85546875" bestFit="1" customWidth="1"/>
    <col min="3" max="3" width="12.5703125" bestFit="1" customWidth="1"/>
    <col min="4" max="4" width="11.85546875" bestFit="1" customWidth="1"/>
  </cols>
  <sheetData>
    <row r="1" spans="1:3" ht="15.75" thickBot="1" x14ac:dyDescent="0.3"/>
    <row r="2" spans="1:3" ht="15.75" thickBot="1" x14ac:dyDescent="0.3">
      <c r="A2" s="12" t="s">
        <v>32</v>
      </c>
    </row>
    <row r="3" spans="1:3" x14ac:dyDescent="0.25">
      <c r="A3" s="7" t="s">
        <v>14</v>
      </c>
      <c r="B3" s="7" t="s">
        <v>12</v>
      </c>
    </row>
    <row r="4" spans="1:3" x14ac:dyDescent="0.25">
      <c r="A4" s="7" t="s">
        <v>10</v>
      </c>
      <c r="B4">
        <v>2022</v>
      </c>
      <c r="C4" t="s">
        <v>11</v>
      </c>
    </row>
    <row r="5" spans="1:3" x14ac:dyDescent="0.25">
      <c r="A5" s="8" t="s">
        <v>13</v>
      </c>
      <c r="B5" s="40"/>
      <c r="C5" s="40"/>
    </row>
    <row r="6" spans="1:3" x14ac:dyDescent="0.25">
      <c r="A6" s="8" t="s">
        <v>15</v>
      </c>
      <c r="B6" s="40"/>
      <c r="C6" s="40"/>
    </row>
    <row r="7" spans="1:3" x14ac:dyDescent="0.25">
      <c r="A7" s="8" t="s">
        <v>16</v>
      </c>
      <c r="B7" s="40"/>
      <c r="C7" s="40"/>
    </row>
    <row r="8" spans="1:3" x14ac:dyDescent="0.25">
      <c r="A8" s="8" t="s">
        <v>11</v>
      </c>
      <c r="B8" s="40"/>
      <c r="C8" s="40"/>
    </row>
    <row r="18" spans="1:3" ht="15.75" thickBot="1" x14ac:dyDescent="0.3"/>
    <row r="19" spans="1:3" ht="15.75" thickBot="1" x14ac:dyDescent="0.3">
      <c r="A19" s="12" t="s">
        <v>33</v>
      </c>
    </row>
    <row r="20" spans="1:3" x14ac:dyDescent="0.25">
      <c r="B20" s="7" t="s">
        <v>12</v>
      </c>
    </row>
    <row r="21" spans="1:3" x14ac:dyDescent="0.25">
      <c r="B21">
        <v>2022</v>
      </c>
      <c r="C21" t="s">
        <v>11</v>
      </c>
    </row>
    <row r="22" spans="1:3" x14ac:dyDescent="0.25">
      <c r="A22" t="s">
        <v>14</v>
      </c>
      <c r="B22" s="18"/>
      <c r="C22" s="18"/>
    </row>
    <row r="23" spans="1:3" ht="15.75" thickBot="1" x14ac:dyDescent="0.3"/>
    <row r="24" spans="1:3" ht="15.75" thickBot="1" x14ac:dyDescent="0.3">
      <c r="A24" s="16" t="s">
        <v>34</v>
      </c>
    </row>
    <row r="25" spans="1:3" x14ac:dyDescent="0.25">
      <c r="B25" s="7" t="s">
        <v>12</v>
      </c>
    </row>
    <row r="26" spans="1:3" x14ac:dyDescent="0.25">
      <c r="B26">
        <v>2022</v>
      </c>
      <c r="C26" t="s">
        <v>11</v>
      </c>
    </row>
    <row r="27" spans="1:3" x14ac:dyDescent="0.25">
      <c r="A27" t="s">
        <v>17</v>
      </c>
      <c r="B27" s="10">
        <v>0</v>
      </c>
      <c r="C27" s="10">
        <v>0</v>
      </c>
    </row>
  </sheetData>
  <pageMargins left="0.7" right="0.7" top="0.75" bottom="0.75" header="0.3" footer="0.3"/>
  <pageSetup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DFB5-5344-4268-93BE-F5E3A0B8129F}">
  <sheetPr>
    <tabColor theme="5" tint="0.79998168889431442"/>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40" width="22.28515625" bestFit="1" customWidth="1"/>
    <col min="41" max="41" width="21.85546875" bestFit="1" customWidth="1"/>
    <col min="42" max="42" width="21.42578125" bestFit="1" customWidth="1"/>
    <col min="43" max="48" width="21.85546875" bestFit="1" customWidth="1"/>
    <col min="49" max="49" width="21.42578125" bestFit="1" customWidth="1"/>
    <col min="50" max="50" width="22.42578125" bestFit="1" customWidth="1"/>
    <col min="51" max="51" width="22.85546875" bestFit="1" customWidth="1"/>
    <col min="52" max="60" width="22.42578125" bestFit="1" customWidth="1"/>
  </cols>
  <sheetData>
    <row r="1" spans="1:2" ht="15.75" thickBot="1" x14ac:dyDescent="0.3"/>
    <row r="2" spans="1:2" ht="15.75" thickBot="1" x14ac:dyDescent="0.3">
      <c r="A2" s="12" t="s">
        <v>35</v>
      </c>
    </row>
    <row r="3" spans="1:2" x14ac:dyDescent="0.25">
      <c r="A3" s="7" t="s">
        <v>12</v>
      </c>
    </row>
    <row r="4" spans="1:2" x14ac:dyDescent="0.25">
      <c r="A4">
        <v>2022</v>
      </c>
      <c r="B4" t="s">
        <v>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2BEA6-AC4B-4ED9-BCBB-9D2D26D20C91}">
  <sheetPr>
    <tabColor theme="5" tint="0.79998168889431442"/>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40" width="22.7109375" bestFit="1" customWidth="1"/>
    <col min="41" max="41" width="26.42578125" bestFit="1" customWidth="1"/>
    <col min="42" max="42" width="25.85546875" bestFit="1" customWidth="1"/>
    <col min="43" max="48" width="26.42578125" bestFit="1" customWidth="1"/>
    <col min="49" max="49" width="25.85546875" bestFit="1" customWidth="1"/>
    <col min="50" max="50" width="27" bestFit="1" customWidth="1"/>
    <col min="51" max="51" width="27.42578125" bestFit="1" customWidth="1"/>
    <col min="52" max="60" width="27" bestFit="1" customWidth="1"/>
  </cols>
  <sheetData>
    <row r="1" spans="1:2" ht="15.75" thickBot="1" x14ac:dyDescent="0.3"/>
    <row r="2" spans="1:2" ht="15.75" thickBot="1" x14ac:dyDescent="0.3">
      <c r="A2" s="12" t="s">
        <v>36</v>
      </c>
    </row>
    <row r="3" spans="1:2" x14ac:dyDescent="0.25">
      <c r="A3" s="7" t="s">
        <v>12</v>
      </c>
    </row>
    <row r="4" spans="1:2" x14ac:dyDescent="0.25">
      <c r="A4">
        <v>2022</v>
      </c>
      <c r="B4" t="s">
        <v>11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2BC8-4734-42DC-802D-0DF280DD6B5B}">
  <sheetPr>
    <tabColor theme="5" tint="0.79998168889431442"/>
  </sheetPr>
  <dimension ref="A1:A4"/>
  <sheetViews>
    <sheetView workbookViewId="0">
      <selection activeCell="C33" sqref="C33"/>
    </sheetView>
  </sheetViews>
  <sheetFormatPr baseColWidth="10" defaultRowHeight="15" x14ac:dyDescent="0.25"/>
  <cols>
    <col min="1" max="1" width="21" bestFit="1" customWidth="1"/>
    <col min="2" max="2" width="17.140625" bestFit="1" customWidth="1"/>
    <col min="3" max="3" width="16.7109375" bestFit="1" customWidth="1"/>
    <col min="4" max="9" width="17.140625" bestFit="1" customWidth="1"/>
    <col min="10" max="10" width="16.7109375" bestFit="1" customWidth="1"/>
    <col min="11" max="11" width="17.7109375" bestFit="1" customWidth="1"/>
    <col min="12" max="12" width="18.140625" bestFit="1" customWidth="1"/>
    <col min="13" max="21" width="17.7109375" bestFit="1" customWidth="1"/>
  </cols>
  <sheetData>
    <row r="1" spans="1:1" ht="15.75" thickBot="1" x14ac:dyDescent="0.3"/>
    <row r="2" spans="1:1" ht="15.75" thickBot="1" x14ac:dyDescent="0.3">
      <c r="A2" s="12" t="s">
        <v>37</v>
      </c>
    </row>
    <row r="3" spans="1:1" x14ac:dyDescent="0.25">
      <c r="A3" s="7" t="s">
        <v>10</v>
      </c>
    </row>
    <row r="4" spans="1:1" x14ac:dyDescent="0.25">
      <c r="A4" s="8" t="s">
        <v>11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87363-B5DB-4CA8-B965-192D6AE6BE95}">
  <sheetPr>
    <tabColor theme="5" tint="0.79998168889431442"/>
  </sheetPr>
  <dimension ref="A1:C20"/>
  <sheetViews>
    <sheetView workbookViewId="0">
      <selection activeCell="C33" sqref="C33"/>
    </sheetView>
  </sheetViews>
  <sheetFormatPr baseColWidth="10" defaultRowHeight="15" x14ac:dyDescent="0.25"/>
  <cols>
    <col min="1" max="1" width="17.5703125" bestFit="1" customWidth="1"/>
    <col min="2" max="2" width="6" bestFit="1" customWidth="1"/>
    <col min="3" max="8" width="17.140625" bestFit="1" customWidth="1"/>
    <col min="9" max="9" width="16.7109375" bestFit="1" customWidth="1"/>
    <col min="10" max="10" width="17.7109375" bestFit="1" customWidth="1"/>
    <col min="11" max="11" width="18.140625" bestFit="1" customWidth="1"/>
    <col min="12" max="20" width="17.7109375" bestFit="1" customWidth="1"/>
  </cols>
  <sheetData>
    <row r="1" spans="1:3" ht="15.75" thickBot="1" x14ac:dyDescent="0.3"/>
    <row r="2" spans="1:3" ht="15.75" thickBot="1" x14ac:dyDescent="0.3">
      <c r="A2" s="11" t="s">
        <v>38</v>
      </c>
    </row>
    <row r="3" spans="1:3" x14ac:dyDescent="0.25">
      <c r="A3" s="25"/>
      <c r="B3" s="26"/>
      <c r="C3" s="27"/>
    </row>
    <row r="4" spans="1:3" x14ac:dyDescent="0.25">
      <c r="A4" s="28"/>
      <c r="B4" s="21"/>
      <c r="C4" s="29"/>
    </row>
    <row r="5" spans="1:3" x14ac:dyDescent="0.25">
      <c r="A5" s="28"/>
      <c r="B5" s="21"/>
      <c r="C5" s="29"/>
    </row>
    <row r="6" spans="1:3" x14ac:dyDescent="0.25">
      <c r="A6" s="28"/>
      <c r="B6" s="21"/>
      <c r="C6" s="29"/>
    </row>
    <row r="7" spans="1:3" x14ac:dyDescent="0.25">
      <c r="A7" s="28"/>
      <c r="B7" s="21"/>
      <c r="C7" s="29"/>
    </row>
    <row r="8" spans="1:3" x14ac:dyDescent="0.25">
      <c r="A8" s="28"/>
      <c r="B8" s="21"/>
      <c r="C8" s="29"/>
    </row>
    <row r="9" spans="1:3" x14ac:dyDescent="0.25">
      <c r="A9" s="28"/>
      <c r="B9" s="21"/>
      <c r="C9" s="29"/>
    </row>
    <row r="10" spans="1:3" x14ac:dyDescent="0.25">
      <c r="A10" s="28"/>
      <c r="B10" s="21"/>
      <c r="C10" s="29"/>
    </row>
    <row r="11" spans="1:3" x14ac:dyDescent="0.25">
      <c r="A11" s="28"/>
      <c r="B11" s="21"/>
      <c r="C11" s="29"/>
    </row>
    <row r="12" spans="1:3" x14ac:dyDescent="0.25">
      <c r="A12" s="28"/>
      <c r="B12" s="21"/>
      <c r="C12" s="29"/>
    </row>
    <row r="13" spans="1:3" x14ac:dyDescent="0.25">
      <c r="A13" s="28"/>
      <c r="B13" s="21"/>
      <c r="C13" s="29"/>
    </row>
    <row r="14" spans="1:3" x14ac:dyDescent="0.25">
      <c r="A14" s="28"/>
      <c r="B14" s="21"/>
      <c r="C14" s="29"/>
    </row>
    <row r="15" spans="1:3" x14ac:dyDescent="0.25">
      <c r="A15" s="28"/>
      <c r="B15" s="21"/>
      <c r="C15" s="29"/>
    </row>
    <row r="16" spans="1:3" x14ac:dyDescent="0.25">
      <c r="A16" s="28"/>
      <c r="B16" s="21"/>
      <c r="C16" s="29"/>
    </row>
    <row r="17" spans="1:3" x14ac:dyDescent="0.25">
      <c r="A17" s="28"/>
      <c r="B17" s="21"/>
      <c r="C17" s="29"/>
    </row>
    <row r="18" spans="1:3" x14ac:dyDescent="0.25">
      <c r="A18" s="28"/>
      <c r="B18" s="21"/>
      <c r="C18" s="29"/>
    </row>
    <row r="19" spans="1:3" x14ac:dyDescent="0.25">
      <c r="A19" s="28"/>
      <c r="B19" s="21"/>
      <c r="C19" s="29"/>
    </row>
    <row r="20" spans="1:3" x14ac:dyDescent="0.25">
      <c r="A20" s="30"/>
      <c r="B20" s="31"/>
      <c r="C20" s="3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97731-A35B-4B2A-8038-BB489BD381A4}">
  <sheetPr>
    <tabColor theme="7" tint="0.59999389629810485"/>
  </sheetPr>
  <dimension ref="A1:C27"/>
  <sheetViews>
    <sheetView workbookViewId="0">
      <selection activeCell="C33" sqref="C33"/>
    </sheetView>
  </sheetViews>
  <sheetFormatPr baseColWidth="10" defaultRowHeight="15" x14ac:dyDescent="0.25"/>
  <cols>
    <col min="1" max="1" width="15.28515625" bestFit="1" customWidth="1"/>
    <col min="2" max="2" width="23.85546875" bestFit="1" customWidth="1"/>
    <col min="3" max="3" width="12.5703125" bestFit="1" customWidth="1"/>
    <col min="4" max="4" width="11.85546875" bestFit="1" customWidth="1"/>
    <col min="5" max="5" width="15.140625" bestFit="1" customWidth="1"/>
    <col min="6" max="6" width="22.28515625" bestFit="1" customWidth="1"/>
    <col min="7" max="7" width="19.85546875" bestFit="1" customWidth="1"/>
  </cols>
  <sheetData>
    <row r="1" spans="1:3" ht="15.75" thickBot="1" x14ac:dyDescent="0.3"/>
    <row r="2" spans="1:3" s="1" customFormat="1" ht="15.75" thickBot="1" x14ac:dyDescent="0.3">
      <c r="A2" s="13" t="s">
        <v>18</v>
      </c>
    </row>
    <row r="3" spans="1:3" x14ac:dyDescent="0.25">
      <c r="A3" s="7" t="s">
        <v>14</v>
      </c>
      <c r="B3" s="7" t="s">
        <v>12</v>
      </c>
    </row>
    <row r="4" spans="1:3" x14ac:dyDescent="0.25">
      <c r="A4" s="7" t="s">
        <v>10</v>
      </c>
      <c r="B4">
        <v>2022</v>
      </c>
      <c r="C4" t="s">
        <v>11</v>
      </c>
    </row>
    <row r="5" spans="1:3" x14ac:dyDescent="0.25">
      <c r="A5" s="8" t="s">
        <v>13</v>
      </c>
      <c r="B5" s="40"/>
      <c r="C5" s="40"/>
    </row>
    <row r="6" spans="1:3" x14ac:dyDescent="0.25">
      <c r="A6" s="8" t="s">
        <v>15</v>
      </c>
      <c r="B6" s="40"/>
      <c r="C6" s="40"/>
    </row>
    <row r="7" spans="1:3" x14ac:dyDescent="0.25">
      <c r="A7" s="8" t="s">
        <v>16</v>
      </c>
      <c r="B7" s="40"/>
      <c r="C7" s="40"/>
    </row>
    <row r="8" spans="1:3" x14ac:dyDescent="0.25">
      <c r="A8" s="8" t="s">
        <v>11</v>
      </c>
      <c r="B8" s="40"/>
      <c r="C8" s="40"/>
    </row>
    <row r="18" spans="1:3" ht="15.75" thickBot="1" x14ac:dyDescent="0.3"/>
    <row r="19" spans="1:3" ht="15.75" thickBot="1" x14ac:dyDescent="0.3">
      <c r="A19" s="14" t="s">
        <v>19</v>
      </c>
    </row>
    <row r="20" spans="1:3" x14ac:dyDescent="0.25">
      <c r="B20" s="7" t="s">
        <v>12</v>
      </c>
    </row>
    <row r="21" spans="1:3" x14ac:dyDescent="0.25">
      <c r="B21">
        <v>2022</v>
      </c>
      <c r="C21" t="s">
        <v>11</v>
      </c>
    </row>
    <row r="22" spans="1:3" x14ac:dyDescent="0.25">
      <c r="A22" t="s">
        <v>14</v>
      </c>
      <c r="B22" s="18"/>
      <c r="C22" s="18"/>
    </row>
    <row r="23" spans="1:3" ht="15.75" thickBot="1" x14ac:dyDescent="0.3"/>
    <row r="24" spans="1:3" ht="15.75" thickBot="1" x14ac:dyDescent="0.3">
      <c r="A24" s="14" t="s">
        <v>20</v>
      </c>
    </row>
    <row r="25" spans="1:3" x14ac:dyDescent="0.25">
      <c r="B25" s="7" t="s">
        <v>12</v>
      </c>
    </row>
    <row r="26" spans="1:3" x14ac:dyDescent="0.25">
      <c r="B26">
        <v>2022</v>
      </c>
      <c r="C26" t="s">
        <v>11</v>
      </c>
    </row>
    <row r="27" spans="1:3" x14ac:dyDescent="0.25">
      <c r="A27" t="s">
        <v>17</v>
      </c>
      <c r="B27" s="10">
        <v>0</v>
      </c>
      <c r="C27" s="10">
        <v>0</v>
      </c>
    </row>
  </sheetData>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6C00E-2FD4-4463-A733-23AEF079EE3C}">
  <sheetPr>
    <tabColor theme="7"/>
  </sheetPr>
  <dimension ref="A5:S106"/>
  <sheetViews>
    <sheetView zoomScaleNormal="100" workbookViewId="0">
      <selection activeCell="F40" sqref="F40"/>
    </sheetView>
  </sheetViews>
  <sheetFormatPr baseColWidth="10" defaultColWidth="11.5703125" defaultRowHeight="15" x14ac:dyDescent="0.25"/>
  <cols>
    <col min="1" max="18" width="11.5703125" style="1"/>
    <col min="19" max="19" width="11.5703125" style="2"/>
    <col min="20" max="16384" width="11.5703125" style="1"/>
  </cols>
  <sheetData>
    <row r="5" spans="1:18" x14ac:dyDescent="0.25">
      <c r="A5" s="3"/>
      <c r="B5" s="3"/>
      <c r="C5" s="3"/>
      <c r="D5" s="3"/>
      <c r="E5" s="3"/>
      <c r="F5" s="3"/>
      <c r="G5" s="3"/>
      <c r="H5" s="3"/>
      <c r="I5" s="3"/>
      <c r="J5" s="3"/>
      <c r="K5" s="3"/>
      <c r="L5" s="3"/>
      <c r="M5" s="3"/>
      <c r="N5" s="3"/>
      <c r="O5" s="3"/>
      <c r="P5" s="3"/>
      <c r="Q5" s="3"/>
      <c r="R5" s="3"/>
    </row>
    <row r="6" spans="1:18" x14ac:dyDescent="0.25">
      <c r="A6" s="3"/>
      <c r="B6" s="3"/>
      <c r="C6" s="3"/>
      <c r="D6" s="3"/>
      <c r="E6" s="3"/>
      <c r="F6" s="3"/>
      <c r="G6" s="3"/>
      <c r="H6" s="3"/>
      <c r="I6" s="3"/>
      <c r="J6" s="3"/>
      <c r="K6" s="3"/>
      <c r="L6" s="3"/>
      <c r="M6" s="3"/>
      <c r="N6" s="3"/>
      <c r="O6" s="3"/>
      <c r="P6" s="3"/>
      <c r="Q6" s="3"/>
      <c r="R6" s="3"/>
    </row>
    <row r="7" spans="1:18" x14ac:dyDescent="0.25">
      <c r="A7" s="3"/>
      <c r="B7" s="3"/>
      <c r="C7" s="3"/>
      <c r="D7" s="3"/>
      <c r="E7" s="3"/>
      <c r="F7" s="3"/>
      <c r="G7" s="3"/>
      <c r="H7" s="3"/>
      <c r="I7" s="3"/>
      <c r="J7" s="3"/>
      <c r="K7" s="3"/>
      <c r="L7" s="3"/>
      <c r="M7" s="3"/>
      <c r="N7" s="3"/>
      <c r="O7" s="3"/>
      <c r="P7" s="3"/>
      <c r="Q7" s="3"/>
      <c r="R7" s="3"/>
    </row>
    <row r="13" spans="1:18" x14ac:dyDescent="0.25">
      <c r="A13" s="3"/>
      <c r="B13" s="3"/>
      <c r="C13" s="3"/>
      <c r="D13" s="3"/>
      <c r="E13" s="3"/>
      <c r="F13" s="3"/>
      <c r="G13" s="3"/>
      <c r="H13" s="3"/>
      <c r="I13" s="3"/>
      <c r="J13" s="3"/>
      <c r="K13" s="3"/>
      <c r="L13" s="3"/>
      <c r="M13" s="3"/>
      <c r="N13" s="3"/>
      <c r="O13" s="3"/>
      <c r="P13" s="3"/>
      <c r="Q13" s="3"/>
      <c r="R13" s="3"/>
    </row>
    <row r="39" spans="1:18" x14ac:dyDescent="0.25">
      <c r="A39" s="3"/>
      <c r="B39" s="3"/>
      <c r="C39" s="3"/>
      <c r="D39" s="3"/>
      <c r="E39" s="3"/>
      <c r="F39" s="3"/>
      <c r="G39" s="3"/>
      <c r="H39" s="3"/>
      <c r="I39" s="3"/>
      <c r="J39" s="3"/>
      <c r="K39" s="3"/>
      <c r="L39" s="3"/>
      <c r="M39" s="3"/>
      <c r="N39" s="3"/>
      <c r="O39" s="3"/>
      <c r="P39" s="3"/>
      <c r="Q39" s="3"/>
      <c r="R39" s="3"/>
    </row>
    <row r="65" spans="1:18" x14ac:dyDescent="0.25">
      <c r="A65" s="3"/>
      <c r="B65" s="3"/>
      <c r="C65" s="3"/>
      <c r="D65" s="3"/>
      <c r="E65" s="3"/>
      <c r="F65" s="3"/>
      <c r="G65" s="3"/>
      <c r="H65" s="3"/>
      <c r="I65" s="3"/>
      <c r="J65" s="3"/>
      <c r="K65" s="3"/>
      <c r="L65" s="3"/>
      <c r="M65" s="3"/>
      <c r="N65" s="3"/>
      <c r="O65" s="3"/>
      <c r="P65" s="3"/>
      <c r="Q65" s="3"/>
      <c r="R65" s="3"/>
    </row>
    <row r="73" spans="1:18" x14ac:dyDescent="0.25">
      <c r="A73" s="3"/>
      <c r="B73" s="3"/>
      <c r="C73" s="3"/>
      <c r="D73" s="3"/>
      <c r="E73" s="3"/>
      <c r="F73" s="3"/>
      <c r="G73" s="3"/>
      <c r="H73" s="3"/>
      <c r="I73" s="3"/>
      <c r="J73" s="3"/>
      <c r="K73" s="3"/>
      <c r="L73" s="3"/>
      <c r="M73" s="3"/>
      <c r="N73" s="3"/>
      <c r="O73" s="3"/>
      <c r="P73" s="3"/>
      <c r="Q73" s="3"/>
      <c r="R73" s="3"/>
    </row>
    <row r="99" spans="1:18" x14ac:dyDescent="0.25">
      <c r="A99" s="3"/>
      <c r="B99" s="3"/>
      <c r="C99" s="3"/>
      <c r="D99" s="3"/>
      <c r="E99" s="3"/>
      <c r="F99" s="3"/>
      <c r="G99" s="3"/>
      <c r="H99" s="3"/>
      <c r="I99" s="3"/>
      <c r="J99" s="3"/>
      <c r="K99" s="3"/>
      <c r="L99" s="3"/>
      <c r="M99" s="3"/>
      <c r="N99" s="3"/>
      <c r="O99" s="3"/>
      <c r="P99" s="3"/>
      <c r="Q99" s="3"/>
      <c r="R99" s="3"/>
    </row>
    <row r="106" spans="1:18" x14ac:dyDescent="0.25">
      <c r="A106" s="3"/>
      <c r="B106" s="3"/>
      <c r="C106" s="3"/>
      <c r="D106" s="3"/>
      <c r="E106" s="3"/>
      <c r="F106" s="3"/>
      <c r="G106" s="3"/>
      <c r="H106" s="3"/>
      <c r="I106" s="3"/>
      <c r="J106" s="3"/>
      <c r="K106" s="3"/>
      <c r="L106" s="3"/>
      <c r="M106" s="3"/>
      <c r="N106" s="3"/>
      <c r="O106" s="3"/>
      <c r="P106" s="3"/>
      <c r="Q106" s="3"/>
      <c r="R106" s="3"/>
    </row>
  </sheetData>
  <sheetProtection selectLockedCells="1"/>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16BB-AC9E-4BAA-9179-7F8227A77BAD}">
  <sheetPr>
    <tabColor theme="7" tint="0.59999389629810485"/>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6" width="22.28515625" bestFit="1" customWidth="1"/>
    <col min="7" max="7" width="21.85546875" bestFit="1" customWidth="1"/>
    <col min="8" max="8" width="21.42578125" bestFit="1" customWidth="1"/>
    <col min="9" max="9" width="21.85546875" bestFit="1" customWidth="1"/>
  </cols>
  <sheetData>
    <row r="1" spans="1:2" ht="15.75" thickBot="1" x14ac:dyDescent="0.3"/>
    <row r="2" spans="1:2" ht="15.75" thickBot="1" x14ac:dyDescent="0.3">
      <c r="A2" s="15" t="s">
        <v>21</v>
      </c>
    </row>
    <row r="3" spans="1:2" x14ac:dyDescent="0.25">
      <c r="A3" s="7" t="s">
        <v>12</v>
      </c>
    </row>
    <row r="4" spans="1:2" x14ac:dyDescent="0.25">
      <c r="A4">
        <v>2022</v>
      </c>
      <c r="B4" t="s">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FC05-1652-4167-8B40-A5802DC300A6}">
  <sheetPr>
    <tabColor theme="7" tint="0.59999389629810485"/>
  </sheetPr>
  <dimension ref="A1:B4"/>
  <sheetViews>
    <sheetView workbookViewId="0">
      <selection activeCell="C33" sqref="C33"/>
    </sheetView>
  </sheetViews>
  <sheetFormatPr baseColWidth="10" defaultRowHeight="15" x14ac:dyDescent="0.25"/>
  <cols>
    <col min="1" max="1" width="23.85546875" bestFit="1" customWidth="1"/>
    <col min="2" max="2" width="12.5703125" bestFit="1" customWidth="1"/>
    <col min="3" max="4" width="11.85546875" bestFit="1" customWidth="1"/>
    <col min="5" max="6" width="22.28515625" bestFit="1" customWidth="1"/>
    <col min="7" max="7" width="21.85546875" bestFit="1" customWidth="1"/>
    <col min="8" max="8" width="21.42578125" bestFit="1" customWidth="1"/>
    <col min="9" max="9" width="21.85546875" bestFit="1" customWidth="1"/>
  </cols>
  <sheetData>
    <row r="1" spans="1:2" ht="15.75" thickBot="1" x14ac:dyDescent="0.3"/>
    <row r="2" spans="1:2" ht="15.75" thickBot="1" x14ac:dyDescent="0.3">
      <c r="A2" s="14" t="s">
        <v>22</v>
      </c>
    </row>
    <row r="3" spans="1:2" x14ac:dyDescent="0.25">
      <c r="A3" s="7" t="s">
        <v>12</v>
      </c>
    </row>
    <row r="4" spans="1:2" x14ac:dyDescent="0.25">
      <c r="A4">
        <v>2022</v>
      </c>
      <c r="B4" t="s">
        <v>11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1C82-BF45-4309-9AE2-337FF2B35DDF}">
  <sheetPr>
    <tabColor theme="7" tint="0.59999389629810485"/>
  </sheetPr>
  <dimension ref="A1:E8"/>
  <sheetViews>
    <sheetView workbookViewId="0">
      <selection activeCell="C33" sqref="C33"/>
    </sheetView>
  </sheetViews>
  <sheetFormatPr baseColWidth="10" defaultRowHeight="15" x14ac:dyDescent="0.25"/>
  <cols>
    <col min="1" max="1" width="21" bestFit="1" customWidth="1"/>
    <col min="2" max="3" width="18.85546875" bestFit="1" customWidth="1"/>
    <col min="4" max="5" width="19.28515625" bestFit="1" customWidth="1"/>
    <col min="6" max="9" width="17.140625" bestFit="1" customWidth="1"/>
    <col min="10" max="10" width="16.7109375" bestFit="1" customWidth="1"/>
    <col min="11" max="11" width="17.7109375" bestFit="1" customWidth="1"/>
    <col min="12" max="12" width="18.140625" bestFit="1" customWidth="1"/>
    <col min="13" max="21" width="17.7109375" bestFit="1" customWidth="1"/>
    <col min="22" max="22" width="14.7109375" bestFit="1" customWidth="1"/>
    <col min="23" max="36" width="22.28515625" bestFit="1" customWidth="1"/>
    <col min="37" max="37" width="21.7109375" bestFit="1" customWidth="1"/>
    <col min="38" max="38" width="21.28515625" bestFit="1" customWidth="1"/>
    <col min="39" max="39" width="21.7109375" bestFit="1" customWidth="1"/>
    <col min="40" max="48" width="17.140625" bestFit="1" customWidth="1"/>
    <col min="49" max="49" width="21.7109375" bestFit="1" customWidth="1"/>
    <col min="50" max="50" width="21.28515625" bestFit="1" customWidth="1"/>
    <col min="51" max="51" width="21.7109375" bestFit="1" customWidth="1"/>
    <col min="52" max="52" width="21.85546875" bestFit="1" customWidth="1"/>
    <col min="53" max="53" width="21.42578125" bestFit="1" customWidth="1"/>
    <col min="54" max="54" width="21.85546875" bestFit="1" customWidth="1"/>
  </cols>
  <sheetData>
    <row r="1" spans="1:5" ht="15.75" thickBot="1" x14ac:dyDescent="0.3"/>
    <row r="2" spans="1:5" ht="15.75" thickBot="1" x14ac:dyDescent="0.3">
      <c r="A2" s="14" t="s">
        <v>23</v>
      </c>
    </row>
    <row r="3" spans="1:5" x14ac:dyDescent="0.25">
      <c r="A3" s="7" t="s">
        <v>10</v>
      </c>
      <c r="B3" t="s">
        <v>85</v>
      </c>
      <c r="C3" t="s">
        <v>86</v>
      </c>
      <c r="D3" t="s">
        <v>87</v>
      </c>
      <c r="E3" t="s">
        <v>88</v>
      </c>
    </row>
    <row r="4" spans="1:5" x14ac:dyDescent="0.25">
      <c r="A4" s="8">
        <v>2022</v>
      </c>
      <c r="B4" s="40"/>
      <c r="C4" s="40"/>
      <c r="D4" s="40"/>
      <c r="E4" s="40"/>
    </row>
    <row r="5" spans="1:5" x14ac:dyDescent="0.25">
      <c r="A5" s="9" t="s">
        <v>13</v>
      </c>
      <c r="B5" s="40"/>
      <c r="C5" s="40"/>
      <c r="D5" s="40"/>
      <c r="E5" s="40"/>
    </row>
    <row r="6" spans="1:5" x14ac:dyDescent="0.25">
      <c r="A6" s="9" t="s">
        <v>15</v>
      </c>
      <c r="B6" s="40"/>
      <c r="C6" s="40"/>
      <c r="D6" s="40"/>
      <c r="E6" s="40"/>
    </row>
    <row r="7" spans="1:5" x14ac:dyDescent="0.25">
      <c r="A7" s="9" t="s">
        <v>16</v>
      </c>
      <c r="B7" s="40"/>
      <c r="C7" s="40"/>
      <c r="D7" s="40"/>
      <c r="E7" s="40"/>
    </row>
    <row r="8" spans="1:5" x14ac:dyDescent="0.25">
      <c r="A8" s="8" t="s">
        <v>11</v>
      </c>
      <c r="B8" s="40"/>
      <c r="C8" s="40"/>
      <c r="D8" s="40"/>
      <c r="E8" s="4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D4C8-519E-4D1A-8E33-56DEFB86A9F9}">
  <sheetPr>
    <tabColor theme="7" tint="0.59999389629810485"/>
  </sheetPr>
  <dimension ref="A1:B7"/>
  <sheetViews>
    <sheetView workbookViewId="0">
      <selection activeCell="C33" sqref="C33"/>
    </sheetView>
  </sheetViews>
  <sheetFormatPr baseColWidth="10" defaultRowHeight="15" x14ac:dyDescent="0.25"/>
  <cols>
    <col min="1" max="1" width="19.28515625" bestFit="1" customWidth="1"/>
    <col min="2" max="2" width="7" bestFit="1" customWidth="1"/>
    <col min="3" max="3" width="6" bestFit="1" customWidth="1"/>
    <col min="4" max="4" width="11.85546875" bestFit="1" customWidth="1"/>
    <col min="5" max="7" width="5" bestFit="1" customWidth="1"/>
    <col min="8" max="8" width="5.7109375" bestFit="1" customWidth="1"/>
    <col min="9" max="9" width="5" bestFit="1" customWidth="1"/>
    <col min="10" max="10" width="10" bestFit="1" customWidth="1"/>
    <col min="11" max="11" width="7.5703125" bestFit="1" customWidth="1"/>
    <col min="12" max="12" width="9.7109375" bestFit="1" customWidth="1"/>
    <col min="13" max="13" width="9.42578125" bestFit="1" customWidth="1"/>
    <col min="14" max="14" width="9.7109375" bestFit="1" customWidth="1"/>
    <col min="15" max="15" width="7" bestFit="1" customWidth="1"/>
    <col min="16" max="16" width="6.42578125" bestFit="1" customWidth="1"/>
    <col min="17" max="17" width="5.140625" bestFit="1" customWidth="1"/>
    <col min="18" max="18" width="9.7109375" bestFit="1" customWidth="1"/>
    <col min="19" max="19" width="11.85546875" bestFit="1" customWidth="1"/>
    <col min="20" max="36" width="22.28515625" bestFit="1" customWidth="1"/>
    <col min="37" max="37" width="22.140625" bestFit="1" customWidth="1"/>
    <col min="38" max="38" width="21.7109375" bestFit="1" customWidth="1"/>
    <col min="39" max="39" width="22.140625" bestFit="1" customWidth="1"/>
    <col min="40" max="48" width="17.5703125" bestFit="1" customWidth="1"/>
    <col min="49" max="49" width="22.140625" bestFit="1" customWidth="1"/>
    <col min="50" max="50" width="21.7109375" bestFit="1" customWidth="1"/>
    <col min="51" max="51" width="22.140625" bestFit="1" customWidth="1"/>
    <col min="52" max="52" width="22.28515625" bestFit="1" customWidth="1"/>
    <col min="53" max="53" width="21.85546875" bestFit="1" customWidth="1"/>
    <col min="54" max="54" width="22.28515625" bestFit="1" customWidth="1"/>
  </cols>
  <sheetData>
    <row r="1" spans="1:2" ht="15.75" thickBot="1" x14ac:dyDescent="0.3"/>
    <row r="2" spans="1:2" ht="15.75" thickBot="1" x14ac:dyDescent="0.3">
      <c r="A2" s="15" t="s">
        <v>24</v>
      </c>
    </row>
    <row r="3" spans="1:2" x14ac:dyDescent="0.25">
      <c r="A3" s="7" t="s">
        <v>89</v>
      </c>
    </row>
    <row r="4" spans="1:2" x14ac:dyDescent="0.25">
      <c r="A4" s="8" t="s">
        <v>85</v>
      </c>
      <c r="B4" s="40"/>
    </row>
    <row r="5" spans="1:2" x14ac:dyDescent="0.25">
      <c r="A5" s="8" t="s">
        <v>86</v>
      </c>
      <c r="B5" s="40"/>
    </row>
    <row r="6" spans="1:2" x14ac:dyDescent="0.25">
      <c r="A6" s="8" t="s">
        <v>87</v>
      </c>
      <c r="B6" s="40"/>
    </row>
    <row r="7" spans="1:2" x14ac:dyDescent="0.25">
      <c r="A7" s="8" t="s">
        <v>88</v>
      </c>
      <c r="B7" s="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914E-4674-4601-98C6-9F2D5A09F8BA}">
  <sheetPr>
    <tabColor theme="5"/>
  </sheetPr>
  <dimension ref="A5:S106"/>
  <sheetViews>
    <sheetView topLeftCell="A5" zoomScale="90" zoomScaleNormal="90" workbookViewId="0">
      <selection activeCell="O40" sqref="O40"/>
    </sheetView>
  </sheetViews>
  <sheetFormatPr baseColWidth="10" defaultColWidth="11.5703125" defaultRowHeight="15" x14ac:dyDescent="0.25"/>
  <cols>
    <col min="1" max="18" width="11.5703125" style="1"/>
    <col min="19" max="19" width="11.5703125" style="2"/>
    <col min="20" max="16384" width="11.5703125" style="1"/>
  </cols>
  <sheetData>
    <row r="5" spans="1:18" x14ac:dyDescent="0.25">
      <c r="A5" s="3"/>
      <c r="B5" s="3"/>
      <c r="C5" s="3"/>
      <c r="D5" s="3"/>
      <c r="E5" s="3"/>
      <c r="F5" s="3"/>
      <c r="G5" s="3"/>
      <c r="H5" s="3"/>
      <c r="I5" s="3"/>
      <c r="J5" s="3"/>
      <c r="K5" s="3"/>
      <c r="L5" s="3"/>
      <c r="M5" s="3"/>
      <c r="N5" s="3"/>
      <c r="O5" s="3"/>
      <c r="P5" s="3"/>
      <c r="Q5" s="3"/>
      <c r="R5" s="3"/>
    </row>
    <row r="6" spans="1:18" x14ac:dyDescent="0.25">
      <c r="A6" s="3"/>
      <c r="B6" s="3"/>
      <c r="C6" s="3"/>
      <c r="D6" s="3"/>
      <c r="E6" s="3"/>
      <c r="F6" s="3"/>
      <c r="G6" s="3"/>
      <c r="H6" s="3"/>
      <c r="I6" s="3"/>
      <c r="J6" s="3"/>
      <c r="K6" s="3"/>
      <c r="L6" s="3"/>
      <c r="M6" s="3"/>
      <c r="N6" s="3"/>
      <c r="O6" s="3"/>
      <c r="P6" s="3"/>
      <c r="Q6" s="3"/>
      <c r="R6" s="3"/>
    </row>
    <row r="7" spans="1:18" x14ac:dyDescent="0.25">
      <c r="A7" s="3"/>
      <c r="B7" s="3"/>
      <c r="C7" s="3"/>
      <c r="D7" s="3"/>
      <c r="E7" s="3"/>
      <c r="F7" s="3"/>
      <c r="G7" s="3"/>
      <c r="H7" s="3"/>
      <c r="I7" s="3"/>
      <c r="J7" s="3"/>
      <c r="K7" s="3"/>
      <c r="L7" s="3"/>
      <c r="M7" s="3"/>
      <c r="N7" s="3"/>
      <c r="O7" s="3"/>
      <c r="P7" s="3"/>
      <c r="Q7" s="3"/>
      <c r="R7" s="3"/>
    </row>
    <row r="13" spans="1:18" x14ac:dyDescent="0.25">
      <c r="A13" s="3"/>
      <c r="B13" s="3"/>
      <c r="C13" s="3"/>
      <c r="D13" s="3"/>
      <c r="E13" s="3"/>
      <c r="F13" s="3"/>
      <c r="G13" s="3"/>
      <c r="H13" s="3"/>
      <c r="I13" s="3"/>
      <c r="J13" s="3"/>
      <c r="K13" s="3"/>
      <c r="L13" s="3"/>
      <c r="M13" s="3"/>
      <c r="N13" s="3"/>
      <c r="O13" s="3"/>
      <c r="P13" s="3"/>
      <c r="Q13" s="3"/>
      <c r="R13" s="3"/>
    </row>
    <row r="39" spans="1:18" x14ac:dyDescent="0.25">
      <c r="A39" s="3"/>
      <c r="B39" s="3"/>
      <c r="C39" s="3"/>
      <c r="D39" s="3"/>
      <c r="E39" s="3"/>
      <c r="F39" s="3"/>
      <c r="G39" s="3"/>
      <c r="H39" s="3"/>
      <c r="I39" s="3"/>
      <c r="J39" s="3"/>
      <c r="K39" s="3"/>
      <c r="L39" s="3"/>
      <c r="M39" s="3"/>
      <c r="N39" s="3"/>
      <c r="O39" s="3"/>
      <c r="P39" s="3"/>
      <c r="Q39" s="3"/>
      <c r="R39" s="3"/>
    </row>
    <row r="65" spans="1:18" x14ac:dyDescent="0.25">
      <c r="A65" s="3"/>
      <c r="B65" s="3"/>
      <c r="C65" s="3"/>
      <c r="D65" s="3"/>
      <c r="E65" s="3"/>
      <c r="F65" s="3"/>
      <c r="G65" s="3"/>
      <c r="H65" s="3"/>
      <c r="I65" s="3"/>
      <c r="J65" s="3"/>
      <c r="K65" s="3"/>
      <c r="L65" s="3"/>
      <c r="M65" s="3"/>
      <c r="N65" s="3"/>
      <c r="O65" s="3"/>
      <c r="P65" s="3"/>
      <c r="Q65" s="3"/>
      <c r="R65" s="3"/>
    </row>
    <row r="73" spans="1:18" x14ac:dyDescent="0.25">
      <c r="A73" s="3"/>
      <c r="B73" s="3"/>
      <c r="C73" s="3"/>
      <c r="D73" s="3"/>
      <c r="E73" s="3"/>
      <c r="F73" s="3"/>
      <c r="G73" s="3"/>
      <c r="H73" s="3"/>
      <c r="I73" s="3"/>
      <c r="J73" s="3"/>
      <c r="K73" s="3"/>
      <c r="L73" s="3"/>
      <c r="M73" s="3"/>
      <c r="N73" s="3"/>
      <c r="O73" s="3"/>
      <c r="P73" s="3"/>
      <c r="Q73" s="3"/>
      <c r="R73" s="3"/>
    </row>
    <row r="106" spans="1:18" x14ac:dyDescent="0.25">
      <c r="A106" s="3"/>
      <c r="B106" s="3"/>
      <c r="C106" s="3"/>
      <c r="D106" s="3"/>
      <c r="E106" s="3"/>
      <c r="F106" s="3"/>
      <c r="G106" s="3"/>
      <c r="H106" s="3"/>
      <c r="I106" s="3"/>
      <c r="J106" s="3"/>
      <c r="K106" s="3"/>
      <c r="L106" s="3"/>
      <c r="M106" s="3"/>
      <c r="N106" s="3"/>
      <c r="O106" s="3"/>
      <c r="P106" s="3"/>
      <c r="Q106" s="3"/>
      <c r="R106" s="3"/>
    </row>
  </sheetData>
  <sheetProtection selectLockedCells="1"/>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1D71C-E4F0-4A79-8096-07CDFE9BE6E8}">
  <sheetPr>
    <tabColor theme="4"/>
  </sheetPr>
  <dimension ref="A5:S106"/>
  <sheetViews>
    <sheetView workbookViewId="0"/>
  </sheetViews>
  <sheetFormatPr baseColWidth="10" defaultColWidth="11.5703125" defaultRowHeight="15" x14ac:dyDescent="0.25"/>
  <cols>
    <col min="1" max="18" width="11.5703125" style="1"/>
    <col min="19" max="19" width="11.5703125" style="2"/>
    <col min="20" max="16384" width="11.5703125" style="1"/>
  </cols>
  <sheetData>
    <row r="5" spans="1:18" x14ac:dyDescent="0.25">
      <c r="A5" s="3"/>
      <c r="B5" s="3"/>
      <c r="C5" s="3"/>
      <c r="D5" s="3"/>
      <c r="E5" s="3"/>
      <c r="F5" s="3"/>
      <c r="G5" s="3"/>
      <c r="H5" s="3"/>
      <c r="I5" s="3"/>
      <c r="J5" s="3"/>
      <c r="K5" s="3"/>
      <c r="L5" s="3"/>
      <c r="M5" s="3"/>
      <c r="N5" s="3"/>
      <c r="O5" s="3"/>
      <c r="P5" s="3"/>
      <c r="Q5" s="3"/>
      <c r="R5" s="3"/>
    </row>
    <row r="6" spans="1:18" x14ac:dyDescent="0.25">
      <c r="A6" s="3"/>
      <c r="B6" s="3"/>
      <c r="C6" s="3"/>
      <c r="D6" s="3"/>
      <c r="E6" s="3"/>
      <c r="F6" s="3"/>
      <c r="G6" s="3"/>
      <c r="H6" s="3"/>
      <c r="I6" s="3"/>
      <c r="J6" s="3"/>
      <c r="K6" s="3"/>
      <c r="L6" s="3"/>
      <c r="M6" s="3"/>
      <c r="N6" s="3"/>
      <c r="O6" s="3"/>
      <c r="P6" s="3"/>
      <c r="Q6" s="3"/>
      <c r="R6" s="3"/>
    </row>
    <row r="7" spans="1:18" x14ac:dyDescent="0.25">
      <c r="A7" s="3"/>
      <c r="B7" s="3"/>
      <c r="C7" s="3"/>
      <c r="D7" s="3"/>
      <c r="E7" s="3"/>
      <c r="F7" s="3"/>
      <c r="G7" s="3"/>
      <c r="H7" s="3"/>
      <c r="I7" s="3"/>
      <c r="J7" s="3"/>
      <c r="K7" s="3"/>
      <c r="L7" s="3"/>
      <c r="M7" s="3"/>
      <c r="N7" s="3"/>
      <c r="O7" s="3"/>
      <c r="P7" s="3"/>
      <c r="Q7" s="3"/>
      <c r="R7" s="3"/>
    </row>
    <row r="13" spans="1:18" x14ac:dyDescent="0.25">
      <c r="A13" s="3"/>
      <c r="B13" s="3"/>
      <c r="C13" s="3"/>
      <c r="D13" s="3"/>
      <c r="E13" s="3"/>
      <c r="F13" s="3"/>
      <c r="G13" s="3"/>
      <c r="H13" s="3"/>
      <c r="I13" s="3"/>
      <c r="J13" s="3"/>
      <c r="K13" s="3"/>
      <c r="L13" s="3"/>
      <c r="M13" s="3"/>
      <c r="N13" s="3"/>
      <c r="O13" s="3"/>
      <c r="P13" s="3"/>
      <c r="Q13" s="3"/>
      <c r="R13" s="3"/>
    </row>
    <row r="38" spans="1:18" x14ac:dyDescent="0.25">
      <c r="A38" s="3"/>
      <c r="B38" s="3"/>
      <c r="C38" s="3"/>
      <c r="D38" s="3"/>
      <c r="E38" s="3"/>
      <c r="F38" s="3"/>
      <c r="G38" s="3"/>
      <c r="H38" s="3"/>
      <c r="I38" s="3"/>
      <c r="J38" s="3"/>
      <c r="K38" s="3"/>
      <c r="L38" s="3"/>
      <c r="M38" s="3"/>
      <c r="N38" s="3"/>
      <c r="O38" s="3"/>
      <c r="P38" s="3"/>
      <c r="Q38" s="3"/>
      <c r="R38" s="3"/>
    </row>
    <row r="65" spans="1:18" x14ac:dyDescent="0.25">
      <c r="A65" s="3"/>
      <c r="B65" s="3"/>
      <c r="C65" s="3"/>
      <c r="D65" s="3"/>
      <c r="E65" s="3"/>
      <c r="F65" s="3"/>
      <c r="G65" s="3"/>
      <c r="H65" s="3"/>
      <c r="I65" s="3"/>
      <c r="J65" s="3"/>
      <c r="K65" s="3"/>
      <c r="L65" s="3"/>
      <c r="M65" s="3"/>
      <c r="N65" s="3"/>
      <c r="O65" s="3"/>
      <c r="P65" s="3"/>
      <c r="Q65" s="3"/>
      <c r="R65" s="3"/>
    </row>
    <row r="73" spans="1:18" x14ac:dyDescent="0.25">
      <c r="A73" s="3"/>
      <c r="B73" s="3"/>
      <c r="C73" s="3"/>
      <c r="D73" s="3"/>
      <c r="E73" s="3"/>
      <c r="F73" s="3"/>
      <c r="G73" s="3"/>
      <c r="H73" s="3"/>
      <c r="I73" s="3"/>
      <c r="J73" s="3"/>
      <c r="K73" s="3"/>
      <c r="L73" s="3"/>
      <c r="M73" s="3"/>
      <c r="N73" s="3"/>
      <c r="O73" s="3"/>
      <c r="P73" s="3"/>
      <c r="Q73" s="3"/>
      <c r="R73" s="3"/>
    </row>
    <row r="106" spans="1:18" x14ac:dyDescent="0.25">
      <c r="A106" s="3"/>
      <c r="B106" s="3"/>
      <c r="C106" s="3"/>
      <c r="D106" s="3"/>
      <c r="E106" s="3"/>
      <c r="F106" s="3"/>
      <c r="G106" s="3"/>
      <c r="H106" s="3"/>
      <c r="I106" s="3"/>
      <c r="J106" s="3"/>
      <c r="K106" s="3"/>
      <c r="L106" s="3"/>
      <c r="M106" s="3"/>
      <c r="N106" s="3"/>
      <c r="O106" s="3"/>
      <c r="P106" s="3"/>
      <c r="Q106" s="3"/>
      <c r="R106" s="3"/>
    </row>
  </sheetData>
  <sheetProtection selectLockedCells="1"/>
  <pageMargins left="0.7" right="0.7" top="0.75" bottom="0.75" header="0.3" footer="0.3"/>
  <drawing r:id="rId1"/>
  <extLst>
    <ext xmlns:x14="http://schemas.microsoft.com/office/spreadsheetml/2009/9/main" uri="{A8765BA9-456A-4dab-B4F3-ACF838C121DE}">
      <x14:slicerList>
        <x14:slicer r:id="rId2"/>
      </x14:slicerList>
    </ext>
    <ext xmlns:x15="http://schemas.microsoft.com/office/spreadsheetml/2010/11/main" uri="{7E03D99C-DC04-49d9-9315-930204A7B6E9}">
      <x15:timelineRefs>
        <x15:timelineRef r:id="rId3"/>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93FC8-2764-4C5A-A3C1-BA0C5BCC2B20}">
  <sheetPr>
    <tabColor theme="7"/>
  </sheetPr>
  <dimension ref="A1:XFD1048576"/>
  <sheetViews>
    <sheetView topLeftCell="U1" workbookViewId="0">
      <selection activeCell="W23" sqref="W23"/>
    </sheetView>
  </sheetViews>
  <sheetFormatPr baseColWidth="10" defaultColWidth="11.5703125" defaultRowHeight="15" x14ac:dyDescent="0.25"/>
  <cols>
    <col min="1" max="1" width="19.28515625" style="1" customWidth="1"/>
    <col min="2" max="2" width="35.7109375" style="23" customWidth="1"/>
    <col min="3" max="22" width="30.7109375" style="23" customWidth="1"/>
    <col min="23" max="23" width="30.7109375" style="1" customWidth="1"/>
    <col min="24" max="46" width="30.7109375" style="1" hidden="1" customWidth="1"/>
    <col min="47" max="16384" width="11.5703125" style="1"/>
  </cols>
  <sheetData>
    <row r="1" spans="1:46" x14ac:dyDescent="0.25">
      <c r="B1" s="1"/>
      <c r="C1" s="1"/>
      <c r="D1" s="1"/>
      <c r="E1" s="1"/>
      <c r="F1" s="1"/>
      <c r="G1" s="1"/>
      <c r="H1" s="1"/>
      <c r="I1" s="1"/>
      <c r="J1" s="1"/>
      <c r="K1" s="1"/>
      <c r="L1" s="1"/>
      <c r="M1" s="1"/>
      <c r="N1" s="1"/>
      <c r="O1" s="1"/>
      <c r="P1" s="1"/>
      <c r="Q1" s="1"/>
      <c r="R1" s="1"/>
      <c r="S1" s="1"/>
      <c r="T1" s="1"/>
      <c r="U1" s="1"/>
      <c r="V1" s="1"/>
    </row>
    <row r="2" spans="1:46" x14ac:dyDescent="0.25">
      <c r="B2" s="1"/>
      <c r="C2" s="1"/>
      <c r="D2" s="1"/>
      <c r="E2" s="1"/>
      <c r="F2" s="1"/>
      <c r="G2" s="1"/>
      <c r="H2" s="1"/>
      <c r="I2" s="1"/>
      <c r="J2" s="1"/>
      <c r="K2" s="1"/>
      <c r="L2" s="1"/>
      <c r="M2" s="1"/>
      <c r="N2" s="1"/>
      <c r="O2" s="1"/>
      <c r="P2" s="1"/>
      <c r="Q2" s="1"/>
      <c r="R2" s="1"/>
      <c r="S2" s="1"/>
      <c r="T2" s="1"/>
      <c r="U2" s="1"/>
      <c r="V2" s="1"/>
    </row>
    <row r="3" spans="1:46" x14ac:dyDescent="0.25">
      <c r="B3" s="1"/>
      <c r="C3" s="1"/>
      <c r="D3" s="1"/>
      <c r="E3" s="1"/>
      <c r="F3" s="1"/>
      <c r="G3" s="1"/>
      <c r="H3" s="1"/>
      <c r="I3" s="1"/>
      <c r="J3" s="1"/>
      <c r="K3" s="1"/>
      <c r="L3" s="1"/>
      <c r="M3" s="1"/>
      <c r="N3" s="1"/>
      <c r="O3" s="1"/>
      <c r="P3" s="1"/>
      <c r="Q3" s="1"/>
      <c r="R3" s="1"/>
      <c r="S3" s="1"/>
      <c r="T3" s="1"/>
      <c r="U3" s="1"/>
      <c r="V3" s="1"/>
    </row>
    <row r="4" spans="1:46" x14ac:dyDescent="0.25">
      <c r="B4" s="1"/>
      <c r="C4" s="1"/>
      <c r="D4" s="1"/>
      <c r="E4" s="1"/>
      <c r="F4" s="1"/>
      <c r="G4" s="1"/>
      <c r="H4" s="1"/>
      <c r="I4" s="1"/>
      <c r="J4" s="1"/>
      <c r="K4" s="1"/>
      <c r="L4" s="1"/>
      <c r="M4" s="1"/>
      <c r="N4" s="1"/>
      <c r="O4" s="1"/>
      <c r="P4" s="1"/>
      <c r="Q4" s="1"/>
      <c r="R4" s="1"/>
      <c r="S4" s="1"/>
      <c r="T4" s="1"/>
      <c r="U4" s="1"/>
      <c r="V4" s="1"/>
    </row>
    <row r="5" spans="1:46" s="3" customFormat="1" x14ac:dyDescent="0.25"/>
    <row r="6" spans="1:46" s="3" customFormat="1" x14ac:dyDescent="0.25"/>
    <row r="7" spans="1:46" s="3" customFormat="1" x14ac:dyDescent="0.25"/>
    <row r="8" spans="1:46" x14ac:dyDescent="0.25">
      <c r="B8" s="1"/>
      <c r="C8" s="1"/>
      <c r="D8" s="1"/>
      <c r="E8" s="1"/>
      <c r="F8" s="1"/>
      <c r="G8" s="1"/>
      <c r="H8" s="1"/>
      <c r="I8" s="1"/>
      <c r="J8" s="1"/>
      <c r="K8" s="1"/>
      <c r="L8" s="1"/>
      <c r="M8" s="1"/>
      <c r="N8" s="1"/>
      <c r="O8" s="1"/>
      <c r="P8" s="1"/>
      <c r="Q8" s="1"/>
      <c r="R8" s="1"/>
      <c r="S8" s="1"/>
      <c r="T8" s="1"/>
      <c r="U8" s="1"/>
      <c r="V8" s="1"/>
    </row>
    <row r="9" spans="1:46" x14ac:dyDescent="0.25">
      <c r="B9" s="1"/>
      <c r="C9" s="1"/>
      <c r="D9" s="1"/>
      <c r="E9" s="1"/>
      <c r="F9" s="1"/>
      <c r="G9" s="1"/>
      <c r="H9" s="1"/>
      <c r="I9" s="1"/>
      <c r="J9" s="1"/>
      <c r="K9" s="1"/>
      <c r="L9" s="1"/>
      <c r="M9" s="1"/>
      <c r="N9" s="1"/>
      <c r="O9" s="1"/>
      <c r="P9" s="1"/>
      <c r="Q9" s="1"/>
      <c r="R9" s="1"/>
      <c r="S9" s="1"/>
      <c r="T9" s="1"/>
      <c r="U9" s="1"/>
      <c r="V9" s="1"/>
    </row>
    <row r="10" spans="1:46" x14ac:dyDescent="0.25">
      <c r="B10" s="1"/>
      <c r="C10" s="1"/>
      <c r="D10" s="1"/>
      <c r="E10" s="1"/>
      <c r="F10" s="1"/>
      <c r="G10" s="1"/>
      <c r="H10" s="1"/>
      <c r="I10" s="1"/>
      <c r="J10" s="1"/>
      <c r="K10" s="1"/>
      <c r="L10" s="1"/>
      <c r="M10" s="1"/>
      <c r="N10" s="1"/>
      <c r="O10" s="1"/>
      <c r="P10" s="1"/>
      <c r="Q10" s="1"/>
      <c r="R10" s="1"/>
      <c r="S10" s="1"/>
      <c r="T10" s="1"/>
      <c r="U10" s="1"/>
      <c r="V10" s="1"/>
    </row>
    <row r="11" spans="1:46" x14ac:dyDescent="0.25">
      <c r="B11" s="1"/>
      <c r="C11" s="1"/>
      <c r="D11" s="1"/>
      <c r="E11" s="1"/>
      <c r="F11" s="1"/>
      <c r="G11" s="1"/>
      <c r="H11" s="1"/>
      <c r="I11" s="1"/>
      <c r="J11" s="1"/>
      <c r="K11" s="1"/>
      <c r="L11" s="1"/>
      <c r="M11" s="1"/>
      <c r="N11" s="1"/>
      <c r="O11" s="1"/>
      <c r="P11" s="1"/>
      <c r="Q11" s="1"/>
      <c r="R11" s="1"/>
      <c r="S11" s="1"/>
      <c r="T11" s="1"/>
      <c r="U11" s="1"/>
      <c r="V11" s="1"/>
    </row>
    <row r="12" spans="1:46" x14ac:dyDescent="0.25">
      <c r="B12" s="1"/>
      <c r="C12" s="1"/>
      <c r="D12" s="1"/>
      <c r="E12" s="1"/>
      <c r="F12" s="1"/>
      <c r="G12" s="1"/>
      <c r="H12" s="1"/>
      <c r="I12" s="1"/>
      <c r="J12" s="1"/>
      <c r="K12" s="1"/>
      <c r="L12" s="1"/>
      <c r="M12" s="1"/>
      <c r="N12" s="1"/>
      <c r="O12" s="1"/>
      <c r="P12" s="1"/>
      <c r="Q12" s="1"/>
      <c r="R12" s="1"/>
      <c r="S12" s="1"/>
      <c r="T12" s="1"/>
      <c r="U12" s="1"/>
      <c r="V12" s="1"/>
    </row>
    <row r="13" spans="1:46" s="3" customFormat="1" x14ac:dyDescent="0.25"/>
    <row r="14" spans="1:46" x14ac:dyDescent="0.25">
      <c r="B14" s="1"/>
      <c r="C14" s="1"/>
      <c r="D14" s="1"/>
      <c r="E14" s="1"/>
      <c r="F14" s="1"/>
      <c r="G14" s="1"/>
      <c r="H14" s="1"/>
      <c r="I14" s="1"/>
      <c r="J14" s="1"/>
      <c r="K14" s="1"/>
      <c r="L14" s="1"/>
      <c r="M14" s="1"/>
      <c r="N14" s="1"/>
      <c r="O14" s="1"/>
      <c r="P14" s="1"/>
      <c r="Q14" s="1"/>
      <c r="R14" s="1"/>
      <c r="S14" s="1"/>
      <c r="T14" s="1"/>
      <c r="U14" s="1"/>
      <c r="V14" s="1"/>
    </row>
    <row r="15" spans="1:46" x14ac:dyDescent="0.25">
      <c r="B15" s="1"/>
      <c r="C15" s="1"/>
      <c r="D15" s="1"/>
      <c r="E15" s="1"/>
      <c r="F15" s="1"/>
      <c r="G15" s="1"/>
      <c r="H15" s="1"/>
      <c r="I15" s="1"/>
      <c r="J15" s="1"/>
      <c r="K15" s="1"/>
      <c r="L15" s="1"/>
      <c r="M15" s="1"/>
      <c r="N15" s="1"/>
      <c r="O15" s="1"/>
      <c r="P15" s="1"/>
      <c r="Q15" s="1"/>
      <c r="R15" s="1"/>
      <c r="S15" s="1"/>
      <c r="T15" s="1"/>
      <c r="U15" s="1"/>
      <c r="V15" s="1"/>
      <c r="X15" s="1" t="str">
        <f>Tableau_donnees_elec[[#Headers],[Poste '[1']]]</f>
        <v>Poste [1]</v>
      </c>
      <c r="Y15" s="1" t="str">
        <f>Tableau_donnees_elec[[#Headers],[Poste '[2']]]</f>
        <v>Poste [2]</v>
      </c>
      <c r="Z15" s="1" t="str">
        <f>Tableau_donnees_elec[[#Headers],[Poste '[3'] ]]</f>
        <v xml:space="preserve">Poste [3] </v>
      </c>
      <c r="AA15" s="1" t="str">
        <f>Tableau_donnees_elec[[#Headers],[Poste '[4'] ]]</f>
        <v xml:space="preserve">Poste [4] </v>
      </c>
      <c r="AB15" s="1" t="str">
        <f>Tableau_donnees_elec[[#Headers],[Poste '[5']]]</f>
        <v>Poste [5]</v>
      </c>
      <c r="AC15" s="1" t="str">
        <f>Tableau_donnees_elec[[#Headers],[Poste '[6']]]</f>
        <v>Poste [6]</v>
      </c>
      <c r="AD15" s="1" t="str">
        <f>Tableau_donnees_elec[[#Headers],[Poste '[7'] ]]</f>
        <v xml:space="preserve">Poste [7] </v>
      </c>
      <c r="AE15" s="1" t="str">
        <f>Tableau_donnees_elec[[#Headers],[Poste '[8']]]</f>
        <v>Poste [8]</v>
      </c>
      <c r="AF15" s="1" t="str">
        <f>Tableau_donnees_elec[[#Headers],[Poste '[9']]]</f>
        <v>Poste [9]</v>
      </c>
      <c r="AG15" s="1" t="str">
        <f>Tableau_donnees_elec[[#Headers],[Poste '[10']]]</f>
        <v>Poste [10]</v>
      </c>
      <c r="AH15" s="1" t="str">
        <f>Tableau_donnees_elec[[#Headers],[Poste '[11']]]</f>
        <v>Poste [11]</v>
      </c>
      <c r="AI15" s="1" t="str">
        <f>Tableau_donnees_elec[[#Headers],[Poste '[12']]]</f>
        <v>Poste [12]</v>
      </c>
      <c r="AJ15" s="1" t="str">
        <f>Tableau_donnees_elec[[#Headers],[Poste '[13']]]</f>
        <v>Poste [13]</v>
      </c>
      <c r="AK15" s="1" t="str">
        <f>Tableau_donnees_elec[[#Headers],[Poste '[14']]]</f>
        <v>Poste [14]</v>
      </c>
      <c r="AL15" s="1" t="str">
        <f>Tableau_donnees_elec[[#Headers],[Poste '[15']]]</f>
        <v>Poste [15]</v>
      </c>
      <c r="AM15" s="1" t="str">
        <f>Tableau_donnees_elec[[#Headers],[Poste '[16']]]</f>
        <v>Poste [16]</v>
      </c>
      <c r="AN15" s="1" t="str">
        <f>Tableau_donnees_elec[[#Headers],[Poste '[17']]]</f>
        <v>Poste [17]</v>
      </c>
      <c r="AO15" s="1" t="str">
        <f>Tableau_donnees_elec[[#Headers],[Poste '[18']]]</f>
        <v>Poste [18]</v>
      </c>
      <c r="AP15" s="1" t="str">
        <f>Tableau_donnees_elec[[#Headers],[Poste '[19']]]</f>
        <v>Poste [19]</v>
      </c>
      <c r="AQ15" s="1" t="str">
        <f>Tableau_donnees_elec[[#Headers],[Poste '[20']]]</f>
        <v>Poste [20]</v>
      </c>
    </row>
    <row r="16" spans="1:46" s="4" customFormat="1" x14ac:dyDescent="0.25">
      <c r="A16" s="5" t="s">
        <v>1</v>
      </c>
      <c r="B16" s="5" t="s">
        <v>0</v>
      </c>
      <c r="C16" s="5" t="s">
        <v>39</v>
      </c>
      <c r="D16" s="5" t="s">
        <v>40</v>
      </c>
      <c r="E16" s="5" t="s">
        <v>41</v>
      </c>
      <c r="F16" s="5" t="s">
        <v>42</v>
      </c>
      <c r="G16" s="5" t="s">
        <v>43</v>
      </c>
      <c r="H16" s="5" t="s">
        <v>44</v>
      </c>
      <c r="I16" s="5" t="s">
        <v>45</v>
      </c>
      <c r="J16" s="5" t="s">
        <v>46</v>
      </c>
      <c r="K16" s="5" t="s">
        <v>47</v>
      </c>
      <c r="L16" s="5" t="s">
        <v>48</v>
      </c>
      <c r="M16" s="5" t="s">
        <v>52</v>
      </c>
      <c r="N16" s="5" t="s">
        <v>49</v>
      </c>
      <c r="O16" s="5" t="s">
        <v>50</v>
      </c>
      <c r="P16" s="5" t="s">
        <v>51</v>
      </c>
      <c r="Q16" s="5" t="s">
        <v>53</v>
      </c>
      <c r="R16" s="5" t="s">
        <v>54</v>
      </c>
      <c r="S16" s="5" t="s">
        <v>55</v>
      </c>
      <c r="T16" s="5" t="s">
        <v>56</v>
      </c>
      <c r="U16" s="5" t="s">
        <v>57</v>
      </c>
      <c r="V16" s="5" t="s">
        <v>58</v>
      </c>
      <c r="W16" s="5" t="s">
        <v>2</v>
      </c>
      <c r="X16" s="5" t="s">
        <v>59</v>
      </c>
      <c r="Y16" s="5" t="s">
        <v>60</v>
      </c>
      <c r="Z16" s="5" t="s">
        <v>61</v>
      </c>
      <c r="AA16" s="5" t="s">
        <v>62</v>
      </c>
      <c r="AB16" s="5" t="s">
        <v>63</v>
      </c>
      <c r="AC16" s="5" t="s">
        <v>64</v>
      </c>
      <c r="AD16" s="5" t="s">
        <v>65</v>
      </c>
      <c r="AE16" s="5" t="s">
        <v>66</v>
      </c>
      <c r="AF16" s="5" t="s">
        <v>67</v>
      </c>
      <c r="AG16" s="5" t="s">
        <v>68</v>
      </c>
      <c r="AH16" s="5" t="s">
        <v>69</v>
      </c>
      <c r="AI16" s="5" t="s">
        <v>70</v>
      </c>
      <c r="AJ16" s="5" t="s">
        <v>71</v>
      </c>
      <c r="AK16" s="5" t="s">
        <v>72</v>
      </c>
      <c r="AL16" s="5" t="s">
        <v>73</v>
      </c>
      <c r="AM16" s="5" t="s">
        <v>74</v>
      </c>
      <c r="AN16" s="5" t="s">
        <v>75</v>
      </c>
      <c r="AO16" s="5" t="s">
        <v>76</v>
      </c>
      <c r="AP16" s="5" t="s">
        <v>77</v>
      </c>
      <c r="AQ16" s="5" t="s">
        <v>78</v>
      </c>
      <c r="AR16" s="5" t="s">
        <v>5</v>
      </c>
      <c r="AS16" s="5" t="s">
        <v>3</v>
      </c>
      <c r="AT16" s="5" t="s">
        <v>4</v>
      </c>
    </row>
    <row r="17" spans="1:46" x14ac:dyDescent="0.25">
      <c r="A17" s="6">
        <v>44562</v>
      </c>
      <c r="B17" s="22"/>
      <c r="C17" s="22"/>
      <c r="D17" s="22"/>
      <c r="E17" s="22"/>
      <c r="F17" s="22"/>
      <c r="G17" s="22"/>
      <c r="H17" s="22"/>
      <c r="I17" s="22"/>
      <c r="J17" s="22"/>
      <c r="K17" s="22"/>
      <c r="L17" s="22"/>
      <c r="M17" s="22"/>
      <c r="N17" s="22"/>
      <c r="O17" s="22"/>
      <c r="P17" s="22"/>
      <c r="Q17" s="22"/>
      <c r="R17" s="22"/>
      <c r="S17" s="22"/>
      <c r="T17" s="22"/>
      <c r="U17" s="22"/>
      <c r="V17" s="22"/>
      <c r="W17"/>
      <c r="X17">
        <f>VLOOKUP(Tableau_donnees_elec[[#This Row],[ANNÉE]],Tableau6[],2,FALSE)*Tableau_donnees_elec[[#This Row],[Poste '[1']]]</f>
        <v>0</v>
      </c>
      <c r="Y17">
        <f>VLOOKUP(Tableau_donnees_elec[[#This Row],[ANNÉE]],Tableau6[],2,FALSE)*Tableau_donnees_elec[[#This Row],[Poste '[2']]]</f>
        <v>0</v>
      </c>
      <c r="Z17">
        <f>VLOOKUP(Tableau_donnees_elec[[#This Row],[ANNÉE]],Tableau6[],2,FALSE)*Tableau_donnees_elec[[#This Row],[Poste '[3'] ]]</f>
        <v>0</v>
      </c>
      <c r="AA17">
        <f>VLOOKUP(Tableau_donnees_elec[[#This Row],[ANNÉE]],Tableau6[],2,FALSE)*Tableau_donnees_elec[[#This Row],[Poste '[4'] ]]</f>
        <v>0</v>
      </c>
      <c r="AB17">
        <f>VLOOKUP(Tableau_donnees_elec[[#This Row],[ANNÉE]],Tableau6[],2,FALSE)*Tableau_donnees_elec[[#This Row],[Poste '[4'] ]]</f>
        <v>0</v>
      </c>
      <c r="AC17">
        <f>VLOOKUP(Tableau_donnees_elec[[#This Row],[ANNÉE]],Tableau6[],2,FALSE)*Tableau_donnees_elec[[#This Row],[Poste '[6']]]</f>
        <v>0</v>
      </c>
      <c r="AD17">
        <f>VLOOKUP(Tableau_donnees_elec[[#This Row],[ANNÉE]],Tableau6[],2,FALSE)*Tableau_donnees_elec[[#This Row],[Poste '[7'] ]]</f>
        <v>0</v>
      </c>
      <c r="AE17">
        <f>VLOOKUP(Tableau_donnees_elec[[#This Row],[ANNÉE]],Tableau6[],2,FALSE)*Tableau_donnees_elec[[#This Row],[Poste '[8']]]</f>
        <v>0</v>
      </c>
      <c r="AF17">
        <f>VLOOKUP(Tableau_donnees_elec[[#This Row],[ANNÉE]],Tableau6[],2,FALSE)*Tableau_donnees_elec[[#This Row],[Poste '[9']]]</f>
        <v>0</v>
      </c>
      <c r="AG17">
        <f>VLOOKUP(Tableau_donnees_elec[[#This Row],[ANNÉE]],Tableau6[],2,FALSE)*Tableau_donnees_elec[[#This Row],[Poste '[10']]]</f>
        <v>0</v>
      </c>
      <c r="AH17">
        <f>VLOOKUP(Tableau_donnees_elec[[#This Row],[ANNÉE]],Tableau6[],2,FALSE)*Tableau_donnees_elec[[#This Row],[Poste '[11']]]</f>
        <v>0</v>
      </c>
      <c r="AI17">
        <f>VLOOKUP(Tableau_donnees_elec[[#This Row],[ANNÉE]],Tableau6[],2,FALSE)*Tableau_donnees_elec[[#This Row],[Poste '[12']]]</f>
        <v>0</v>
      </c>
      <c r="AJ17">
        <f>VLOOKUP(Tableau_donnees_elec[[#This Row],[ANNÉE]],Tableau6[],2,FALSE)*Tableau_donnees_elec[[#This Row],[Poste '[13']]]</f>
        <v>0</v>
      </c>
      <c r="AK17">
        <f>VLOOKUP(Tableau_donnees_elec[[#This Row],[ANNÉE]],Tableau6[],2,FALSE)*Tableau_donnees_elec[[#This Row],[Poste '[14']]]</f>
        <v>0</v>
      </c>
      <c r="AL17">
        <f>VLOOKUP(Tableau_donnees_elec[[#This Row],[ANNÉE]],Tableau6[],2,FALSE)*Tableau_donnees_elec[[#This Row],[Poste '[15']]]</f>
        <v>0</v>
      </c>
      <c r="AM17">
        <f>VLOOKUP(Tableau_donnees_elec[[#This Row],[ANNÉE]],Tableau6[],2,FALSE)*Tableau_donnees_elec[[#This Row],[Poste '[16']]]</f>
        <v>0</v>
      </c>
      <c r="AN17">
        <f>VLOOKUP(Tableau_donnees_elec[[#This Row],[ANNÉE]],Tableau6[],2,FALSE)*Tableau_donnees_elec[[#This Row],[Poste '[17']]]</f>
        <v>0</v>
      </c>
      <c r="AO17">
        <f>VLOOKUP(Tableau_donnees_elec[[#This Row],[ANNÉE]],Tableau6[],2,FALSE)*Tableau_donnees_elec[[#This Row],[Poste '[18']]]</f>
        <v>0</v>
      </c>
      <c r="AP17">
        <f>VLOOKUP(Tableau_donnees_elec[[#This Row],[ANNÉE]],Tableau6[],2,FALSE)*Tableau_donnees_elec[[#This Row],[Poste '[19']]]</f>
        <v>0</v>
      </c>
      <c r="AQ17">
        <f>VLOOKUP(Tableau_donnees_elec[[#This Row],[ANNÉE]],Tableau6[],2,FALSE)*Tableau_donnees_elec[[#This Row],[Poste '[20']]]</f>
        <v>0</v>
      </c>
      <c r="AR17">
        <f>VLOOKUP(Tableau_donnees_elec[[#This Row],[ANNÉE]],Tableau6[],2,FALSE)*Tableau_donnees_elec[[#This Row],[Total]]</f>
        <v>0</v>
      </c>
      <c r="AS17" t="str">
        <f>TEXT(Tableau_donnees_elec[[#This Row],[Mois/Année ]],"mmmm")</f>
        <v>janvier</v>
      </c>
      <c r="AT17">
        <f>YEAR(Tableau_donnees_elec[[#This Row],[Mois/Année ]])</f>
        <v>2022</v>
      </c>
    </row>
    <row r="18" spans="1:46" x14ac:dyDescent="0.25">
      <c r="A18" s="6">
        <v>44593</v>
      </c>
      <c r="B18" s="22"/>
      <c r="C18" s="22"/>
      <c r="D18" s="22"/>
      <c r="E18" s="22"/>
      <c r="F18" s="22"/>
      <c r="G18" s="22"/>
      <c r="H18" s="22"/>
      <c r="I18" s="22"/>
      <c r="J18" s="22"/>
      <c r="K18" s="22"/>
      <c r="L18" s="22"/>
      <c r="M18" s="22"/>
      <c r="N18" s="22"/>
      <c r="O18" s="22"/>
      <c r="P18" s="22"/>
      <c r="Q18" s="22"/>
      <c r="R18" s="22"/>
      <c r="S18" s="22"/>
      <c r="T18" s="22"/>
      <c r="U18" s="22"/>
      <c r="V18" s="22"/>
      <c r="W18"/>
      <c r="X18">
        <f>VLOOKUP(Tableau_donnees_elec[[#This Row],[ANNÉE]],Tableau6[],2,FALSE)*Tableau_donnees_elec[[#This Row],[Poste '[1']]]</f>
        <v>0</v>
      </c>
      <c r="Y18">
        <f>VLOOKUP(Tableau_donnees_elec[[#This Row],[ANNÉE]],Tableau6[],2,FALSE)*Tableau_donnees_elec[[#This Row],[Poste '[2']]]</f>
        <v>0</v>
      </c>
      <c r="Z18">
        <f>VLOOKUP(Tableau_donnees_elec[[#This Row],[ANNÉE]],Tableau6[],2,FALSE)*Tableau_donnees_elec[[#This Row],[Poste '[3'] ]]</f>
        <v>0</v>
      </c>
      <c r="AA18">
        <f>VLOOKUP(Tableau_donnees_elec[[#This Row],[ANNÉE]],Tableau6[],2,FALSE)*Tableau_donnees_elec[[#This Row],[Poste '[4'] ]]</f>
        <v>0</v>
      </c>
      <c r="AB18">
        <f>VLOOKUP(Tableau_donnees_elec[[#This Row],[ANNÉE]],Tableau6[],2,FALSE)*Tableau_donnees_elec[[#This Row],[Poste '[4'] ]]</f>
        <v>0</v>
      </c>
      <c r="AC18">
        <f>VLOOKUP(Tableau_donnees_elec[[#This Row],[ANNÉE]],Tableau6[],2,FALSE)*Tableau_donnees_elec[[#This Row],[Poste '[6']]]</f>
        <v>0</v>
      </c>
      <c r="AD18">
        <f>VLOOKUP(Tableau_donnees_elec[[#This Row],[ANNÉE]],Tableau6[],2,FALSE)*Tableau_donnees_elec[[#This Row],[Poste '[7'] ]]</f>
        <v>0</v>
      </c>
      <c r="AE18">
        <f>VLOOKUP(Tableau_donnees_elec[[#This Row],[ANNÉE]],Tableau6[],2,FALSE)*Tableau_donnees_elec[[#This Row],[Poste '[8']]]</f>
        <v>0</v>
      </c>
      <c r="AF18">
        <f>VLOOKUP(Tableau_donnees_elec[[#This Row],[ANNÉE]],Tableau6[],2,FALSE)*Tableau_donnees_elec[[#This Row],[Poste '[9']]]</f>
        <v>0</v>
      </c>
      <c r="AG18">
        <f>VLOOKUP(Tableau_donnees_elec[[#This Row],[ANNÉE]],Tableau6[],2,FALSE)*Tableau_donnees_elec[[#This Row],[Poste '[10']]]</f>
        <v>0</v>
      </c>
      <c r="AH18">
        <f>VLOOKUP(Tableau_donnees_elec[[#This Row],[ANNÉE]],Tableau6[],2,FALSE)*Tableau_donnees_elec[[#This Row],[Poste '[11']]]</f>
        <v>0</v>
      </c>
      <c r="AI18">
        <f>VLOOKUP(Tableau_donnees_elec[[#This Row],[ANNÉE]],Tableau6[],2,FALSE)*Tableau_donnees_elec[[#This Row],[Poste '[12']]]</f>
        <v>0</v>
      </c>
      <c r="AJ18">
        <f>VLOOKUP(Tableau_donnees_elec[[#This Row],[ANNÉE]],Tableau6[],2,FALSE)*Tableau_donnees_elec[[#This Row],[Poste '[13']]]</f>
        <v>0</v>
      </c>
      <c r="AK18">
        <f>VLOOKUP(Tableau_donnees_elec[[#This Row],[ANNÉE]],Tableau6[],2,FALSE)*Tableau_donnees_elec[[#This Row],[Poste '[14']]]</f>
        <v>0</v>
      </c>
      <c r="AL18">
        <f>VLOOKUP(Tableau_donnees_elec[[#This Row],[ANNÉE]],Tableau6[],2,FALSE)*Tableau_donnees_elec[[#This Row],[Poste '[15']]]</f>
        <v>0</v>
      </c>
      <c r="AM18">
        <f>VLOOKUP(Tableau_donnees_elec[[#This Row],[ANNÉE]],Tableau6[],2,FALSE)*Tableau_donnees_elec[[#This Row],[Poste '[16']]]</f>
        <v>0</v>
      </c>
      <c r="AN18">
        <f>VLOOKUP(Tableau_donnees_elec[[#This Row],[ANNÉE]],Tableau6[],2,FALSE)*Tableau_donnees_elec[[#This Row],[Poste '[17']]]</f>
        <v>0</v>
      </c>
      <c r="AO18">
        <f>VLOOKUP(Tableau_donnees_elec[[#This Row],[ANNÉE]],Tableau6[],2,FALSE)*Tableau_donnees_elec[[#This Row],[Poste '[18']]]</f>
        <v>0</v>
      </c>
      <c r="AP18">
        <f>VLOOKUP(Tableau_donnees_elec[[#This Row],[ANNÉE]],Tableau6[],2,FALSE)*Tableau_donnees_elec[[#This Row],[Poste '[19']]]</f>
        <v>0</v>
      </c>
      <c r="AQ18">
        <f>VLOOKUP(Tableau_donnees_elec[[#This Row],[ANNÉE]],Tableau6[],2,FALSE)*Tableau_donnees_elec[[#This Row],[Poste '[20']]]</f>
        <v>0</v>
      </c>
      <c r="AR18">
        <f>VLOOKUP(Tableau_donnees_elec[[#This Row],[ANNÉE]],Tableau6[],2,FALSE)*Tableau_donnees_elec[[#This Row],[Total]]</f>
        <v>0</v>
      </c>
      <c r="AS18" t="str">
        <f>TEXT(Tableau_donnees_elec[[#This Row],[Mois/Année ]],"mmmm")</f>
        <v>février</v>
      </c>
      <c r="AT18">
        <f>YEAR(Tableau_donnees_elec[[#This Row],[Mois/Année ]])</f>
        <v>2022</v>
      </c>
    </row>
    <row r="19" spans="1:46" x14ac:dyDescent="0.25">
      <c r="A19" s="6">
        <v>44621</v>
      </c>
      <c r="B19" s="22"/>
      <c r="C19" s="22"/>
      <c r="D19" s="22"/>
      <c r="E19" s="22"/>
      <c r="F19" s="22"/>
      <c r="G19" s="22"/>
      <c r="H19" s="22"/>
      <c r="I19" s="22"/>
      <c r="J19" s="22"/>
      <c r="K19" s="22"/>
      <c r="L19" s="22"/>
      <c r="M19" s="22"/>
      <c r="N19" s="22"/>
      <c r="O19" s="22"/>
      <c r="P19" s="22"/>
      <c r="Q19" s="22"/>
      <c r="R19" s="22"/>
      <c r="S19" s="22"/>
      <c r="T19" s="22"/>
      <c r="U19" s="22"/>
      <c r="V19" s="22"/>
      <c r="W19"/>
      <c r="X19">
        <f>VLOOKUP(Tableau_donnees_elec[[#This Row],[ANNÉE]],Tableau6[],2,FALSE)*Tableau_donnees_elec[[#This Row],[Poste '[1']]]</f>
        <v>0</v>
      </c>
      <c r="Y19">
        <f>VLOOKUP(Tableau_donnees_elec[[#This Row],[ANNÉE]],Tableau6[],2,FALSE)*Tableau_donnees_elec[[#This Row],[Poste '[2']]]</f>
        <v>0</v>
      </c>
      <c r="Z19">
        <f>VLOOKUP(Tableau_donnees_elec[[#This Row],[ANNÉE]],Tableau6[],2,FALSE)*Tableau_donnees_elec[[#This Row],[Poste '[3'] ]]</f>
        <v>0</v>
      </c>
      <c r="AA19">
        <f>VLOOKUP(Tableau_donnees_elec[[#This Row],[ANNÉE]],Tableau6[],2,FALSE)*Tableau_donnees_elec[[#This Row],[Poste '[4'] ]]</f>
        <v>0</v>
      </c>
      <c r="AB19">
        <f>VLOOKUP(Tableau_donnees_elec[[#This Row],[ANNÉE]],Tableau6[],2,FALSE)*Tableau_donnees_elec[[#This Row],[Poste '[4'] ]]</f>
        <v>0</v>
      </c>
      <c r="AC19">
        <f>VLOOKUP(Tableau_donnees_elec[[#This Row],[ANNÉE]],Tableau6[],2,FALSE)*Tableau_donnees_elec[[#This Row],[Poste '[6']]]</f>
        <v>0</v>
      </c>
      <c r="AD19">
        <f>VLOOKUP(Tableau_donnees_elec[[#This Row],[ANNÉE]],Tableau6[],2,FALSE)*Tableau_donnees_elec[[#This Row],[Poste '[7'] ]]</f>
        <v>0</v>
      </c>
      <c r="AE19">
        <f>VLOOKUP(Tableau_donnees_elec[[#This Row],[ANNÉE]],Tableau6[],2,FALSE)*Tableau_donnees_elec[[#This Row],[Poste '[8']]]</f>
        <v>0</v>
      </c>
      <c r="AF19">
        <f>VLOOKUP(Tableau_donnees_elec[[#This Row],[ANNÉE]],Tableau6[],2,FALSE)*Tableau_donnees_elec[[#This Row],[Poste '[9']]]</f>
        <v>0</v>
      </c>
      <c r="AG19">
        <f>VLOOKUP(Tableau_donnees_elec[[#This Row],[ANNÉE]],Tableau6[],2,FALSE)*Tableau_donnees_elec[[#This Row],[Poste '[10']]]</f>
        <v>0</v>
      </c>
      <c r="AH19">
        <f>VLOOKUP(Tableau_donnees_elec[[#This Row],[ANNÉE]],Tableau6[],2,FALSE)*Tableau_donnees_elec[[#This Row],[Poste '[11']]]</f>
        <v>0</v>
      </c>
      <c r="AI19">
        <f>VLOOKUP(Tableau_donnees_elec[[#This Row],[ANNÉE]],Tableau6[],2,FALSE)*Tableau_donnees_elec[[#This Row],[Poste '[12']]]</f>
        <v>0</v>
      </c>
      <c r="AJ19">
        <f>VLOOKUP(Tableau_donnees_elec[[#This Row],[ANNÉE]],Tableau6[],2,FALSE)*Tableau_donnees_elec[[#This Row],[Poste '[13']]]</f>
        <v>0</v>
      </c>
      <c r="AK19">
        <f>VLOOKUP(Tableau_donnees_elec[[#This Row],[ANNÉE]],Tableau6[],2,FALSE)*Tableau_donnees_elec[[#This Row],[Poste '[14']]]</f>
        <v>0</v>
      </c>
      <c r="AL19">
        <f>VLOOKUP(Tableau_donnees_elec[[#This Row],[ANNÉE]],Tableau6[],2,FALSE)*Tableau_donnees_elec[[#This Row],[Poste '[15']]]</f>
        <v>0</v>
      </c>
      <c r="AM19">
        <f>VLOOKUP(Tableau_donnees_elec[[#This Row],[ANNÉE]],Tableau6[],2,FALSE)*Tableau_donnees_elec[[#This Row],[Poste '[16']]]</f>
        <v>0</v>
      </c>
      <c r="AN19">
        <f>VLOOKUP(Tableau_donnees_elec[[#This Row],[ANNÉE]],Tableau6[],2,FALSE)*Tableau_donnees_elec[[#This Row],[Poste '[17']]]</f>
        <v>0</v>
      </c>
      <c r="AO19">
        <f>VLOOKUP(Tableau_donnees_elec[[#This Row],[ANNÉE]],Tableau6[],2,FALSE)*Tableau_donnees_elec[[#This Row],[Poste '[18']]]</f>
        <v>0</v>
      </c>
      <c r="AP19">
        <f>VLOOKUP(Tableau_donnees_elec[[#This Row],[ANNÉE]],Tableau6[],2,FALSE)*Tableau_donnees_elec[[#This Row],[Poste '[19']]]</f>
        <v>0</v>
      </c>
      <c r="AQ19">
        <f>VLOOKUP(Tableau_donnees_elec[[#This Row],[ANNÉE]],Tableau6[],2,FALSE)*Tableau_donnees_elec[[#This Row],[Poste '[20']]]</f>
        <v>0</v>
      </c>
      <c r="AR19">
        <f>VLOOKUP(Tableau_donnees_elec[[#This Row],[ANNÉE]],Tableau6[],2,FALSE)*Tableau_donnees_elec[[#This Row],[Total]]</f>
        <v>0</v>
      </c>
      <c r="AS19" t="str">
        <f>TEXT(Tableau_donnees_elec[[#This Row],[Mois/Année ]],"mmmm")</f>
        <v>mars</v>
      </c>
      <c r="AT19">
        <f>YEAR(Tableau_donnees_elec[[#This Row],[Mois/Année ]])</f>
        <v>2022</v>
      </c>
    </row>
    <row r="25" spans="1:46" x14ac:dyDescent="0.25">
      <c r="U25" s="24"/>
    </row>
    <row r="1048575" spans="16384:16384" x14ac:dyDescent="0.25">
      <c r="XFD1048575" s="20"/>
    </row>
    <row r="1048576" spans="16384:16384" x14ac:dyDescent="0.25">
      <c r="XFD1048576" s="20"/>
    </row>
  </sheetData>
  <sheetProtection selectLockedCells="1"/>
  <dataValidations count="2">
    <dataValidation type="decimal" operator="greaterThan" allowBlank="1" showInputMessage="1" showErrorMessage="1" sqref="W17:W19" xr:uid="{9AFC2836-9039-4D6C-835A-168360F75AAD}">
      <formula1>0</formula1>
    </dataValidation>
    <dataValidation operator="greaterThan" allowBlank="1" showInputMessage="1" showErrorMessage="1" sqref="C17:V19" xr:uid="{621C5045-FAE1-4F0A-AEC5-07E3978BCF91}"/>
  </dataValidation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3C489-079B-4252-BC7D-5CA686B57D9C}">
  <sheetPr>
    <tabColor theme="5"/>
  </sheetPr>
  <dimension ref="A1:AT19"/>
  <sheetViews>
    <sheetView topLeftCell="U1" zoomScaleNormal="100" workbookViewId="0">
      <selection activeCell="AZ16" sqref="AZ16"/>
    </sheetView>
  </sheetViews>
  <sheetFormatPr baseColWidth="10" defaultColWidth="11.5703125" defaultRowHeight="15" x14ac:dyDescent="0.25"/>
  <cols>
    <col min="1" max="1" width="19.28515625" style="1" customWidth="1"/>
    <col min="2" max="2" width="35.7109375" style="23" customWidth="1"/>
    <col min="3" max="23" width="30.7109375" style="23" customWidth="1"/>
    <col min="24" max="46" width="30.7109375" style="1" hidden="1" customWidth="1"/>
    <col min="47" max="16384" width="11.5703125" style="1"/>
  </cols>
  <sheetData>
    <row r="1" spans="1:46" x14ac:dyDescent="0.25">
      <c r="B1" s="1"/>
      <c r="C1" s="1"/>
      <c r="D1" s="1"/>
      <c r="E1" s="1"/>
      <c r="F1" s="1"/>
      <c r="G1" s="1"/>
      <c r="H1" s="1"/>
      <c r="I1" s="1"/>
      <c r="J1" s="1"/>
      <c r="K1" s="1"/>
      <c r="L1" s="1"/>
      <c r="M1" s="1"/>
      <c r="N1" s="1"/>
      <c r="O1" s="1"/>
      <c r="P1" s="1"/>
      <c r="Q1" s="1"/>
      <c r="R1" s="1"/>
      <c r="S1" s="1"/>
      <c r="T1" s="1"/>
      <c r="U1" s="1"/>
      <c r="V1" s="1"/>
      <c r="W1" s="1"/>
    </row>
    <row r="2" spans="1:46" x14ac:dyDescent="0.25">
      <c r="B2" s="1"/>
      <c r="C2" s="1"/>
      <c r="D2" s="1"/>
      <c r="E2" s="1"/>
      <c r="F2" s="1"/>
      <c r="G2" s="1"/>
      <c r="H2" s="1"/>
      <c r="I2" s="1"/>
      <c r="J2" s="1"/>
      <c r="K2" s="1"/>
      <c r="L2" s="1"/>
      <c r="M2" s="1"/>
      <c r="N2" s="1"/>
      <c r="O2" s="1"/>
      <c r="P2" s="1"/>
      <c r="Q2" s="1"/>
      <c r="R2" s="1"/>
      <c r="S2" s="1"/>
      <c r="T2" s="1"/>
      <c r="U2" s="1"/>
      <c r="V2" s="1"/>
      <c r="W2" s="1"/>
    </row>
    <row r="3" spans="1:46" x14ac:dyDescent="0.25">
      <c r="B3" s="1"/>
      <c r="C3" s="1"/>
      <c r="D3" s="1"/>
      <c r="E3" s="1"/>
      <c r="F3" s="1"/>
      <c r="G3" s="1"/>
      <c r="H3" s="1"/>
      <c r="I3" s="1"/>
      <c r="J3" s="1"/>
      <c r="K3" s="1"/>
      <c r="L3" s="1"/>
      <c r="M3" s="1"/>
      <c r="N3" s="1"/>
      <c r="O3" s="1"/>
      <c r="P3" s="1"/>
      <c r="Q3" s="1"/>
      <c r="R3" s="1"/>
      <c r="S3" s="1"/>
      <c r="T3" s="1"/>
      <c r="U3" s="1"/>
      <c r="V3" s="1"/>
      <c r="W3" s="1"/>
    </row>
    <row r="4" spans="1:46" x14ac:dyDescent="0.25">
      <c r="B4" s="1"/>
      <c r="C4" s="1"/>
      <c r="D4" s="1"/>
      <c r="E4" s="1"/>
      <c r="F4" s="1"/>
      <c r="G4" s="1"/>
      <c r="H4" s="1"/>
      <c r="I4" s="1"/>
      <c r="J4" s="1"/>
      <c r="K4" s="1"/>
      <c r="L4" s="1"/>
      <c r="M4" s="1"/>
      <c r="N4" s="1"/>
      <c r="O4" s="1"/>
      <c r="P4" s="1"/>
      <c r="Q4" s="1"/>
      <c r="R4" s="1"/>
      <c r="S4" s="1"/>
      <c r="T4" s="1"/>
      <c r="U4" s="1"/>
      <c r="V4" s="1"/>
      <c r="W4" s="1"/>
    </row>
    <row r="5" spans="1:46" s="3" customFormat="1" x14ac:dyDescent="0.25"/>
    <row r="6" spans="1:46" s="3" customFormat="1" x14ac:dyDescent="0.25"/>
    <row r="7" spans="1:46" s="3" customFormat="1" x14ac:dyDescent="0.25"/>
    <row r="8" spans="1:46" x14ac:dyDescent="0.25">
      <c r="B8" s="1"/>
      <c r="C8" s="1"/>
      <c r="D8" s="1"/>
      <c r="E8" s="1"/>
      <c r="F8" s="1"/>
      <c r="G8" s="1"/>
      <c r="H8" s="1"/>
      <c r="I8" s="1"/>
      <c r="J8" s="1"/>
      <c r="K8" s="1"/>
      <c r="L8" s="1"/>
      <c r="M8" s="1"/>
      <c r="N8" s="1"/>
      <c r="O8" s="1"/>
      <c r="P8" s="1"/>
      <c r="Q8" s="1"/>
      <c r="R8" s="1"/>
      <c r="S8" s="1"/>
      <c r="T8" s="1"/>
      <c r="U8" s="1"/>
      <c r="V8" s="1"/>
      <c r="W8" s="1"/>
    </row>
    <row r="9" spans="1:46" x14ac:dyDescent="0.25">
      <c r="B9" s="1"/>
      <c r="C9" s="1"/>
      <c r="D9" s="1"/>
      <c r="E9" s="1"/>
      <c r="F9" s="1"/>
      <c r="G9" s="1"/>
      <c r="H9" s="1"/>
      <c r="I9" s="1"/>
      <c r="J9" s="1"/>
      <c r="K9" s="1"/>
      <c r="L9" s="1"/>
      <c r="M9" s="1"/>
      <c r="N9" s="1"/>
      <c r="O9" s="1"/>
      <c r="P9" s="1"/>
      <c r="Q9" s="1"/>
      <c r="R9" s="1"/>
      <c r="S9" s="1"/>
      <c r="T9" s="1"/>
      <c r="U9" s="1"/>
      <c r="V9" s="1"/>
      <c r="W9" s="1"/>
    </row>
    <row r="10" spans="1:46" x14ac:dyDescent="0.25">
      <c r="B10" s="1"/>
      <c r="C10" s="1"/>
      <c r="D10" s="1"/>
      <c r="E10" s="1"/>
      <c r="F10" s="1"/>
      <c r="G10" s="1"/>
      <c r="H10" s="1"/>
      <c r="I10" s="1"/>
      <c r="J10" s="1"/>
      <c r="K10" s="1"/>
      <c r="L10" s="1"/>
      <c r="M10" s="1"/>
      <c r="N10" s="1"/>
      <c r="O10" s="1"/>
      <c r="P10" s="1"/>
      <c r="Q10" s="1"/>
      <c r="R10" s="1"/>
      <c r="S10" s="1"/>
      <c r="T10" s="1"/>
      <c r="U10" s="1"/>
      <c r="V10" s="1"/>
      <c r="W10" s="1"/>
    </row>
    <row r="11" spans="1:46" x14ac:dyDescent="0.25">
      <c r="B11" s="1"/>
      <c r="C11" s="1"/>
      <c r="D11" s="1"/>
      <c r="E11" s="1"/>
      <c r="F11" s="1"/>
      <c r="G11" s="1"/>
      <c r="H11" s="1"/>
      <c r="I11" s="1"/>
      <c r="J11" s="1"/>
      <c r="K11" s="1"/>
      <c r="L11" s="1"/>
      <c r="M11" s="1"/>
      <c r="N11" s="1"/>
      <c r="O11" s="1"/>
      <c r="P11" s="1"/>
      <c r="Q11" s="1"/>
      <c r="R11" s="1"/>
      <c r="S11" s="1"/>
      <c r="T11" s="1"/>
      <c r="U11" s="1"/>
      <c r="V11" s="1"/>
      <c r="W11" s="1"/>
    </row>
    <row r="12" spans="1:46" x14ac:dyDescent="0.25">
      <c r="B12" s="1"/>
      <c r="C12" s="1"/>
      <c r="D12" s="1"/>
      <c r="E12" s="1"/>
      <c r="F12" s="1"/>
      <c r="G12" s="1"/>
      <c r="H12" s="1"/>
      <c r="I12" s="1"/>
      <c r="J12" s="1"/>
      <c r="K12" s="1"/>
      <c r="L12" s="1"/>
      <c r="M12" s="1"/>
      <c r="N12" s="1"/>
      <c r="O12" s="1"/>
      <c r="P12" s="1"/>
      <c r="Q12" s="1"/>
      <c r="R12" s="1"/>
      <c r="S12" s="1"/>
      <c r="T12" s="1"/>
      <c r="U12" s="1"/>
      <c r="V12" s="1"/>
      <c r="W12" s="1"/>
    </row>
    <row r="13" spans="1:46" s="3" customFormat="1" x14ac:dyDescent="0.25"/>
    <row r="14" spans="1:46" x14ac:dyDescent="0.25">
      <c r="B14" s="1"/>
      <c r="C14" s="1"/>
      <c r="D14" s="1"/>
      <c r="E14" s="1"/>
      <c r="F14" s="1"/>
      <c r="G14" s="1"/>
      <c r="H14" s="1"/>
      <c r="I14" s="1"/>
      <c r="J14" s="1"/>
      <c r="K14" s="1"/>
      <c r="L14" s="1"/>
      <c r="M14" s="1"/>
      <c r="N14" s="1"/>
      <c r="O14" s="1"/>
      <c r="P14" s="1"/>
      <c r="Q14" s="1"/>
      <c r="R14" s="1"/>
      <c r="S14" s="1"/>
      <c r="T14" s="1"/>
      <c r="U14" s="1"/>
      <c r="V14" s="1"/>
      <c r="W14" s="1"/>
    </row>
    <row r="15" spans="1:46" x14ac:dyDescent="0.25">
      <c r="B15" s="1"/>
      <c r="C15" s="1"/>
      <c r="D15" s="1"/>
      <c r="E15" s="1"/>
      <c r="F15" s="1"/>
      <c r="G15" s="1"/>
      <c r="H15" s="1"/>
      <c r="I15" s="1"/>
      <c r="J15" s="1"/>
      <c r="K15" s="1"/>
      <c r="L15" s="1"/>
      <c r="M15" s="1"/>
      <c r="N15" s="1"/>
      <c r="O15" s="1"/>
      <c r="P15" s="1"/>
      <c r="Q15" s="1"/>
      <c r="R15" s="1"/>
      <c r="S15" s="1"/>
      <c r="T15" s="1"/>
      <c r="U15" s="1"/>
      <c r="V15" s="1"/>
      <c r="W15" s="1"/>
      <c r="X15" s="1" t="str">
        <f>Tableau_donnes_gaz[[#Headers],[Poste '[1']]]</f>
        <v>Poste [1]</v>
      </c>
      <c r="Y15" s="1" t="str">
        <f>Tableau_donnes_gaz[[#Headers],[Poste '[2']]]</f>
        <v>Poste [2]</v>
      </c>
      <c r="Z15" s="1" t="str">
        <f>Tableau_donnes_gaz[[#Headers],[Poste '[3']]]</f>
        <v>Poste [3]</v>
      </c>
      <c r="AA15" s="1" t="str">
        <f>Tableau_donnes_gaz[[#Headers],[Poste '[4']]]</f>
        <v>Poste [4]</v>
      </c>
      <c r="AB15" s="1" t="str">
        <f>Tableau_donnes_gaz[[#Headers],[Poste '[5']]]</f>
        <v>Poste [5]</v>
      </c>
      <c r="AC15" s="1" t="str">
        <f>Tableau_donnes_gaz[[#Headers],[Poste '[6']]]</f>
        <v>Poste [6]</v>
      </c>
      <c r="AD15" s="1" t="str">
        <f>Tableau_donnes_gaz[[#Headers],[Poste '[7']]]</f>
        <v>Poste [7]</v>
      </c>
      <c r="AE15" s="1" t="str">
        <f>Tableau_donnes_gaz[[#Headers],[Poste '[8']]]</f>
        <v>Poste [8]</v>
      </c>
      <c r="AF15" s="1" t="str">
        <f>Tableau_donnes_gaz[[#Headers],[Poste '[9']]]</f>
        <v>Poste [9]</v>
      </c>
      <c r="AG15" s="1" t="str">
        <f>Tableau_donnes_gaz[[#Headers],[Poste '[10']]]</f>
        <v>Poste [10]</v>
      </c>
      <c r="AH15" s="1" t="str">
        <f>Tableau_donnes_gaz[[#Headers],[Poste '[11']]]</f>
        <v>Poste [11]</v>
      </c>
      <c r="AI15" s="1" t="str">
        <f>Tableau_donnes_gaz[[#Headers],[Poste '[12']]]</f>
        <v>Poste [12]</v>
      </c>
      <c r="AJ15" s="1" t="str">
        <f>Tableau_donnes_gaz[[#Headers],[Poste '[13']]]</f>
        <v>Poste [13]</v>
      </c>
      <c r="AK15" s="1" t="str">
        <f>Tableau_donnes_gaz[[#Headers],[Poste '[14']]]</f>
        <v>Poste [14]</v>
      </c>
      <c r="AL15" s="1" t="str">
        <f>Tableau_donnes_gaz[[#Headers],[Poste '[15']]]</f>
        <v>Poste [15]</v>
      </c>
      <c r="AM15" s="1" t="str">
        <f>Tableau_donnes_gaz[[#Headers],[Poste '[16']]]</f>
        <v>Poste [16]</v>
      </c>
      <c r="AN15" s="1" t="str">
        <f>Tableau_donnes_gaz[[#Headers],[Poste '[17']]]</f>
        <v>Poste [17]</v>
      </c>
      <c r="AO15" s="1" t="str">
        <f>Tableau_donnes_gaz[[#Headers],[Poste '[18']]]</f>
        <v>Poste [18]</v>
      </c>
      <c r="AP15" s="1" t="str">
        <f>Tableau_donnes_gaz[[#Headers],[Poste '[19']]]</f>
        <v>Poste [19]</v>
      </c>
      <c r="AQ15" s="1" t="str">
        <f>Tableau_donnes_gaz[[#Headers],[Poste '[20']]]</f>
        <v>Poste [20]</v>
      </c>
    </row>
    <row r="16" spans="1:46" s="4" customFormat="1" x14ac:dyDescent="0.25">
      <c r="A16" s="5" t="s">
        <v>1</v>
      </c>
      <c r="B16" s="5" t="s">
        <v>0</v>
      </c>
      <c r="C16" s="5" t="s">
        <v>39</v>
      </c>
      <c r="D16" s="5" t="s">
        <v>40</v>
      </c>
      <c r="E16" s="5" t="s">
        <v>80</v>
      </c>
      <c r="F16" s="5" t="s">
        <v>81</v>
      </c>
      <c r="G16" s="5" t="s">
        <v>43</v>
      </c>
      <c r="H16" s="5" t="s">
        <v>44</v>
      </c>
      <c r="I16" s="5" t="s">
        <v>82</v>
      </c>
      <c r="J16" s="5" t="s">
        <v>46</v>
      </c>
      <c r="K16" s="5" t="s">
        <v>47</v>
      </c>
      <c r="L16" s="5" t="s">
        <v>48</v>
      </c>
      <c r="M16" s="5" t="s">
        <v>52</v>
      </c>
      <c r="N16" s="5" t="s">
        <v>49</v>
      </c>
      <c r="O16" s="5" t="s">
        <v>50</v>
      </c>
      <c r="P16" s="5" t="s">
        <v>51</v>
      </c>
      <c r="Q16" s="5" t="s">
        <v>53</v>
      </c>
      <c r="R16" s="5" t="s">
        <v>54</v>
      </c>
      <c r="S16" s="5" t="s">
        <v>55</v>
      </c>
      <c r="T16" s="5" t="s">
        <v>56</v>
      </c>
      <c r="U16" s="5" t="s">
        <v>57</v>
      </c>
      <c r="V16" s="5" t="s">
        <v>58</v>
      </c>
      <c r="W16" s="5" t="s">
        <v>2</v>
      </c>
      <c r="X16" s="5" t="s">
        <v>59</v>
      </c>
      <c r="Y16" s="5" t="s">
        <v>60</v>
      </c>
      <c r="Z16" s="5" t="s">
        <v>61</v>
      </c>
      <c r="AA16" s="5" t="s">
        <v>62</v>
      </c>
      <c r="AB16" s="5" t="s">
        <v>63</v>
      </c>
      <c r="AC16" s="5" t="s">
        <v>64</v>
      </c>
      <c r="AD16" s="5" t="s">
        <v>65</v>
      </c>
      <c r="AE16" s="5" t="s">
        <v>83</v>
      </c>
      <c r="AF16" s="5" t="s">
        <v>67</v>
      </c>
      <c r="AG16" s="5" t="s">
        <v>68</v>
      </c>
      <c r="AH16" s="5" t="s">
        <v>69</v>
      </c>
      <c r="AI16" s="5" t="s">
        <v>70</v>
      </c>
      <c r="AJ16" s="5" t="s">
        <v>71</v>
      </c>
      <c r="AK16" s="5" t="s">
        <v>72</v>
      </c>
      <c r="AL16" s="5" t="s">
        <v>73</v>
      </c>
      <c r="AM16" s="5" t="s">
        <v>74</v>
      </c>
      <c r="AN16" s="5" t="s">
        <v>75</v>
      </c>
      <c r="AO16" s="5" t="s">
        <v>76</v>
      </c>
      <c r="AP16" s="5" t="s">
        <v>77</v>
      </c>
      <c r="AQ16" s="5" t="s">
        <v>78</v>
      </c>
      <c r="AR16" s="5" t="s">
        <v>5</v>
      </c>
      <c r="AS16" s="5" t="s">
        <v>3</v>
      </c>
      <c r="AT16" s="5" t="s">
        <v>4</v>
      </c>
    </row>
    <row r="17" spans="1:46" x14ac:dyDescent="0.25">
      <c r="A17" s="6">
        <v>44562</v>
      </c>
      <c r="B17" s="22"/>
      <c r="C17" s="22"/>
      <c r="D17" s="22"/>
      <c r="E17" s="22"/>
      <c r="F17" s="22"/>
      <c r="G17" s="22"/>
      <c r="H17" s="22"/>
      <c r="I17" s="22"/>
      <c r="J17" s="22"/>
      <c r="K17" s="22"/>
      <c r="L17" s="22"/>
      <c r="M17" s="22"/>
      <c r="N17" s="22"/>
      <c r="O17" s="22"/>
      <c r="P17" s="22"/>
      <c r="Q17" s="22"/>
      <c r="R17" s="22"/>
      <c r="S17" s="22"/>
      <c r="T17" s="22"/>
      <c r="U17" s="22"/>
      <c r="V17" s="22"/>
      <c r="W17" s="22"/>
      <c r="X17">
        <f>VLOOKUP(Tableau_donnes_gaz[[#This Row],[ANNÉE]],Tableau6[],4,FALSE)*Tableau_donnes_gaz[[#This Row],[Poste '[1']]]</f>
        <v>0</v>
      </c>
      <c r="Y17">
        <f>VLOOKUP(Tableau_donnes_gaz[[#This Row],[ANNÉE]],Tableau6[],4,FALSE)*Tableau_donnes_gaz[[#This Row],[Poste '[2']]]</f>
        <v>0</v>
      </c>
      <c r="Z17">
        <f>VLOOKUP(Tableau_donnes_gaz[[#This Row],[ANNÉE]],Tableau6[],4,FALSE)*Tableau_donnes_gaz[[#This Row],[Poste '[3']]]</f>
        <v>0</v>
      </c>
      <c r="AA17">
        <f>VLOOKUP(Tableau_donnes_gaz[[#This Row],[ANNÉE]],Tableau6[],4,FALSE)*Tableau_donnes_gaz[[#This Row],[Poste '[4']]]</f>
        <v>0</v>
      </c>
      <c r="AB17">
        <f>VLOOKUP(Tableau_donnes_gaz[[#This Row],[ANNÉE]],Tableau6[],4,FALSE)*Tableau_donnes_gaz[[#This Row],[Poste '[4']]]</f>
        <v>0</v>
      </c>
      <c r="AC17">
        <f>VLOOKUP(Tableau_donnes_gaz[[#This Row],[ANNÉE]],Tableau6[],4,FALSE)*Tableau_donnes_gaz[[#This Row],[Poste '[6']]]</f>
        <v>0</v>
      </c>
      <c r="AD17">
        <f>VLOOKUP(Tableau_donnes_gaz[[#This Row],[ANNÉE]],Tableau6[],4,FALSE)*Tableau_donnes_gaz[[#This Row],[Poste '[7']]]</f>
        <v>0</v>
      </c>
      <c r="AE17">
        <f>VLOOKUP(Tableau_donnes_gaz[[#This Row],[ANNÉE]],Tableau6[],4,FALSE)*Tableau_donnes_gaz[[#This Row],[Poste '[8']]]</f>
        <v>0</v>
      </c>
      <c r="AF17">
        <f>VLOOKUP(Tableau_donnes_gaz[[#This Row],[ANNÉE]],Tableau6[],4,FALSE)*Tableau_donnes_gaz[[#This Row],[Poste '[9']]]</f>
        <v>0</v>
      </c>
      <c r="AG17">
        <f>VLOOKUP(Tableau_donnes_gaz[[#This Row],[ANNÉE]],Tableau6[],4,FALSE)*Tableau_donnes_gaz[[#This Row],[Poste '[10']]]</f>
        <v>0</v>
      </c>
      <c r="AH17">
        <f>VLOOKUP(Tableau_donnes_gaz[[#This Row],[ANNÉE]],Tableau6[],4,FALSE)*Tableau_donnes_gaz[[#This Row],[Poste '[11']]]</f>
        <v>0</v>
      </c>
      <c r="AI17">
        <f>VLOOKUP(Tableau_donnes_gaz[[#This Row],[ANNÉE]],Tableau6[],4,FALSE)*Tableau_donnes_gaz[[#This Row],[Poste '[12']]]</f>
        <v>0</v>
      </c>
      <c r="AJ17">
        <f>VLOOKUP(Tableau_donnes_gaz[[#This Row],[ANNÉE]],Tableau6[],4,FALSE)*Tableau_donnes_gaz[[#This Row],[Poste '[13']]]</f>
        <v>0</v>
      </c>
      <c r="AK17">
        <f>VLOOKUP(Tableau_donnes_gaz[[#This Row],[ANNÉE]],Tableau6[],4,FALSE)*Tableau_donnes_gaz[[#This Row],[Poste '[14']]]</f>
        <v>0</v>
      </c>
      <c r="AL17">
        <f>VLOOKUP(Tableau_donnes_gaz[[#This Row],[ANNÉE]],Tableau6[],4,FALSE)*Tableau_donnes_gaz[[#This Row],[Poste '[15']]]</f>
        <v>0</v>
      </c>
      <c r="AM17">
        <f>VLOOKUP(Tableau_donnes_gaz[[#This Row],[ANNÉE]],Tableau6[],4,FALSE)*Tableau_donnes_gaz[[#This Row],[Poste '[16']]]</f>
        <v>0</v>
      </c>
      <c r="AN17">
        <f>VLOOKUP(Tableau_donnes_gaz[[#This Row],[ANNÉE]],Tableau6[],4,FALSE)*Tableau_donnes_gaz[[#This Row],[Poste '[17']]]</f>
        <v>0</v>
      </c>
      <c r="AO17">
        <f>VLOOKUP(Tableau_donnes_gaz[[#This Row],[ANNÉE]],Tableau6[],4,FALSE)*Tableau_donnes_gaz[[#This Row],[Poste '[18']]]</f>
        <v>0</v>
      </c>
      <c r="AP17">
        <f>VLOOKUP(Tableau_donnes_gaz[[#This Row],[ANNÉE]],Tableau6[],4,FALSE)*Tableau_donnes_gaz[[#This Row],[Poste '[19']]]</f>
        <v>0</v>
      </c>
      <c r="AQ17">
        <f>VLOOKUP(Tableau_donnes_gaz[[#This Row],[ANNÉE]],Tableau6[],4,FALSE)*Tableau_donnes_gaz[[#This Row],[Poste '[20']]]</f>
        <v>0</v>
      </c>
      <c r="AR17">
        <f>VLOOKUP(Tableau_donnes_gaz[[#This Row],[ANNÉE]],Tableau6[],4,FALSE)*Tableau_donnes_gaz[[#This Row],[Total]]</f>
        <v>0</v>
      </c>
      <c r="AS17" t="str">
        <f>TEXT(Tableau_donnes_gaz[[#This Row],[Mois/Année ]],"mmmm")</f>
        <v>janvier</v>
      </c>
      <c r="AT17">
        <f>YEAR(Tableau_donnes_gaz[[#This Row],[Mois/Année ]])</f>
        <v>2022</v>
      </c>
    </row>
    <row r="18" spans="1:46" x14ac:dyDescent="0.25">
      <c r="A18" s="6">
        <v>44593</v>
      </c>
      <c r="B18" s="22"/>
      <c r="C18" s="22"/>
      <c r="D18" s="22"/>
      <c r="E18" s="22"/>
      <c r="F18" s="22"/>
      <c r="G18" s="22"/>
      <c r="H18" s="22"/>
      <c r="I18" s="22"/>
      <c r="J18" s="22"/>
      <c r="K18" s="22"/>
      <c r="L18" s="22"/>
      <c r="M18" s="22"/>
      <c r="N18" s="22"/>
      <c r="O18" s="22"/>
      <c r="P18" s="22"/>
      <c r="Q18" s="22"/>
      <c r="R18" s="22"/>
      <c r="S18" s="22"/>
      <c r="T18" s="22"/>
      <c r="U18" s="22"/>
      <c r="V18" s="22"/>
      <c r="W18" s="22"/>
      <c r="X18">
        <f>VLOOKUP(Tableau_donnes_gaz[[#This Row],[ANNÉE]],Tableau6[],4,FALSE)*Tableau_donnes_gaz[[#This Row],[Poste '[1']]]</f>
        <v>0</v>
      </c>
      <c r="Y18">
        <f>VLOOKUP(Tableau_donnes_gaz[[#This Row],[ANNÉE]],Tableau6[],4,FALSE)*Tableau_donnes_gaz[[#This Row],[Poste '[2']]]</f>
        <v>0</v>
      </c>
      <c r="Z18">
        <f>VLOOKUP(Tableau_donnes_gaz[[#This Row],[ANNÉE]],Tableau6[],4,FALSE)*Tableau_donnes_gaz[[#This Row],[Poste '[3']]]</f>
        <v>0</v>
      </c>
      <c r="AA18">
        <f>VLOOKUP(Tableau_donnes_gaz[[#This Row],[ANNÉE]],Tableau6[],4,FALSE)*Tableau_donnes_gaz[[#This Row],[Poste '[4']]]</f>
        <v>0</v>
      </c>
      <c r="AB18">
        <f>VLOOKUP(Tableau_donnes_gaz[[#This Row],[ANNÉE]],Tableau6[],4,FALSE)*Tableau_donnes_gaz[[#This Row],[Poste '[4']]]</f>
        <v>0</v>
      </c>
      <c r="AC18">
        <f>VLOOKUP(Tableau_donnes_gaz[[#This Row],[ANNÉE]],Tableau6[],4,FALSE)*Tableau_donnes_gaz[[#This Row],[Poste '[6']]]</f>
        <v>0</v>
      </c>
      <c r="AD18">
        <f>VLOOKUP(Tableau_donnes_gaz[[#This Row],[ANNÉE]],Tableau6[],4,FALSE)*Tableau_donnes_gaz[[#This Row],[Poste '[7']]]</f>
        <v>0</v>
      </c>
      <c r="AE18">
        <f>VLOOKUP(Tableau_donnes_gaz[[#This Row],[ANNÉE]],Tableau6[],4,FALSE)*Tableau_donnes_gaz[[#This Row],[Poste '[8']]]</f>
        <v>0</v>
      </c>
      <c r="AF18">
        <f>VLOOKUP(Tableau_donnes_gaz[[#This Row],[ANNÉE]],Tableau6[],4,FALSE)*Tableau_donnes_gaz[[#This Row],[Poste '[9']]]</f>
        <v>0</v>
      </c>
      <c r="AG18">
        <f>VLOOKUP(Tableau_donnes_gaz[[#This Row],[ANNÉE]],Tableau6[],4,FALSE)*Tableau_donnes_gaz[[#This Row],[Poste '[10']]]</f>
        <v>0</v>
      </c>
      <c r="AH18">
        <f>VLOOKUP(Tableau_donnes_gaz[[#This Row],[ANNÉE]],Tableau6[],4,FALSE)*Tableau_donnes_gaz[[#This Row],[Poste '[11']]]</f>
        <v>0</v>
      </c>
      <c r="AI18">
        <f>VLOOKUP(Tableau_donnes_gaz[[#This Row],[ANNÉE]],Tableau6[],4,FALSE)*Tableau_donnes_gaz[[#This Row],[Poste '[12']]]</f>
        <v>0</v>
      </c>
      <c r="AJ18">
        <f>VLOOKUP(Tableau_donnes_gaz[[#This Row],[ANNÉE]],Tableau6[],4,FALSE)*Tableau_donnes_gaz[[#This Row],[Poste '[13']]]</f>
        <v>0</v>
      </c>
      <c r="AK18">
        <f>VLOOKUP(Tableau_donnes_gaz[[#This Row],[ANNÉE]],Tableau6[],4,FALSE)*Tableau_donnes_gaz[[#This Row],[Poste '[14']]]</f>
        <v>0</v>
      </c>
      <c r="AL18">
        <f>VLOOKUP(Tableau_donnes_gaz[[#This Row],[ANNÉE]],Tableau6[],4,FALSE)*Tableau_donnes_gaz[[#This Row],[Poste '[15']]]</f>
        <v>0</v>
      </c>
      <c r="AM18">
        <f>VLOOKUP(Tableau_donnes_gaz[[#This Row],[ANNÉE]],Tableau6[],4,FALSE)*Tableau_donnes_gaz[[#This Row],[Poste '[16']]]</f>
        <v>0</v>
      </c>
      <c r="AN18">
        <f>VLOOKUP(Tableau_donnes_gaz[[#This Row],[ANNÉE]],Tableau6[],4,FALSE)*Tableau_donnes_gaz[[#This Row],[Poste '[17']]]</f>
        <v>0</v>
      </c>
      <c r="AO18">
        <f>VLOOKUP(Tableau_donnes_gaz[[#This Row],[ANNÉE]],Tableau6[],4,FALSE)*Tableau_donnes_gaz[[#This Row],[Poste '[18']]]</f>
        <v>0</v>
      </c>
      <c r="AP18">
        <f>VLOOKUP(Tableau_donnes_gaz[[#This Row],[ANNÉE]],Tableau6[],4,FALSE)*Tableau_donnes_gaz[[#This Row],[Poste '[19']]]</f>
        <v>0</v>
      </c>
      <c r="AQ18">
        <f>VLOOKUP(Tableau_donnes_gaz[[#This Row],[ANNÉE]],Tableau6[],4,FALSE)*Tableau_donnes_gaz[[#This Row],[Poste '[20']]]</f>
        <v>0</v>
      </c>
      <c r="AR18">
        <f>VLOOKUP(Tableau_donnes_gaz[[#This Row],[ANNÉE]],Tableau6[],4,FALSE)*Tableau_donnes_gaz[[#This Row],[Total]]</f>
        <v>0</v>
      </c>
      <c r="AS18" t="str">
        <f>TEXT(Tableau_donnes_gaz[[#This Row],[Mois/Année ]],"mmmm")</f>
        <v>février</v>
      </c>
      <c r="AT18">
        <f>YEAR(Tableau_donnes_gaz[[#This Row],[Mois/Année ]])</f>
        <v>2022</v>
      </c>
    </row>
    <row r="19" spans="1:46" x14ac:dyDescent="0.25">
      <c r="A19" s="6">
        <v>44621</v>
      </c>
      <c r="B19" s="22"/>
      <c r="C19" s="22"/>
      <c r="D19" s="22"/>
      <c r="E19" s="22"/>
      <c r="F19" s="22"/>
      <c r="G19" s="22"/>
      <c r="H19" s="22"/>
      <c r="I19" s="22"/>
      <c r="J19" s="22"/>
      <c r="K19" s="22"/>
      <c r="L19" s="22"/>
      <c r="M19" s="22"/>
      <c r="N19" s="22"/>
      <c r="O19" s="22"/>
      <c r="P19" s="22"/>
      <c r="Q19" s="22"/>
      <c r="R19" s="22"/>
      <c r="S19" s="22"/>
      <c r="T19" s="22"/>
      <c r="U19" s="22"/>
      <c r="V19" s="22"/>
      <c r="W19" s="22"/>
      <c r="X19">
        <f>VLOOKUP(Tableau_donnes_gaz[[#This Row],[ANNÉE]],Tableau6[],4,FALSE)*Tableau_donnes_gaz[[#This Row],[Poste '[1']]]</f>
        <v>0</v>
      </c>
      <c r="Y19">
        <f>VLOOKUP(Tableau_donnes_gaz[[#This Row],[ANNÉE]],Tableau6[],4,FALSE)*Tableau_donnes_gaz[[#This Row],[Poste '[2']]]</f>
        <v>0</v>
      </c>
      <c r="Z19">
        <f>VLOOKUP(Tableau_donnes_gaz[[#This Row],[ANNÉE]],Tableau6[],4,FALSE)*Tableau_donnes_gaz[[#This Row],[Poste '[3']]]</f>
        <v>0</v>
      </c>
      <c r="AA19">
        <f>VLOOKUP(Tableau_donnes_gaz[[#This Row],[ANNÉE]],Tableau6[],4,FALSE)*Tableau_donnes_gaz[[#This Row],[Poste '[4']]]</f>
        <v>0</v>
      </c>
      <c r="AB19">
        <f>VLOOKUP(Tableau_donnes_gaz[[#This Row],[ANNÉE]],Tableau6[],4,FALSE)*Tableau_donnes_gaz[[#This Row],[Poste '[4']]]</f>
        <v>0</v>
      </c>
      <c r="AC19">
        <f>VLOOKUP(Tableau_donnes_gaz[[#This Row],[ANNÉE]],Tableau6[],4,FALSE)*Tableau_donnes_gaz[[#This Row],[Poste '[6']]]</f>
        <v>0</v>
      </c>
      <c r="AD19">
        <f>VLOOKUP(Tableau_donnes_gaz[[#This Row],[ANNÉE]],Tableau6[],4,FALSE)*Tableau_donnes_gaz[[#This Row],[Poste '[7']]]</f>
        <v>0</v>
      </c>
      <c r="AE19">
        <f>VLOOKUP(Tableau_donnes_gaz[[#This Row],[ANNÉE]],Tableau6[],4,FALSE)*Tableau_donnes_gaz[[#This Row],[Poste '[8']]]</f>
        <v>0</v>
      </c>
      <c r="AF19">
        <f>VLOOKUP(Tableau_donnes_gaz[[#This Row],[ANNÉE]],Tableau6[],4,FALSE)*Tableau_donnes_gaz[[#This Row],[Poste '[9']]]</f>
        <v>0</v>
      </c>
      <c r="AG19">
        <f>VLOOKUP(Tableau_donnes_gaz[[#This Row],[ANNÉE]],Tableau6[],4,FALSE)*Tableau_donnes_gaz[[#This Row],[Poste '[10']]]</f>
        <v>0</v>
      </c>
      <c r="AH19">
        <f>VLOOKUP(Tableau_donnes_gaz[[#This Row],[ANNÉE]],Tableau6[],4,FALSE)*Tableau_donnes_gaz[[#This Row],[Poste '[11']]]</f>
        <v>0</v>
      </c>
      <c r="AI19">
        <f>VLOOKUP(Tableau_donnes_gaz[[#This Row],[ANNÉE]],Tableau6[],4,FALSE)*Tableau_donnes_gaz[[#This Row],[Poste '[12']]]</f>
        <v>0</v>
      </c>
      <c r="AJ19">
        <f>VLOOKUP(Tableau_donnes_gaz[[#This Row],[ANNÉE]],Tableau6[],4,FALSE)*Tableau_donnes_gaz[[#This Row],[Poste '[13']]]</f>
        <v>0</v>
      </c>
      <c r="AK19">
        <f>VLOOKUP(Tableau_donnes_gaz[[#This Row],[ANNÉE]],Tableau6[],4,FALSE)*Tableau_donnes_gaz[[#This Row],[Poste '[14']]]</f>
        <v>0</v>
      </c>
      <c r="AL19">
        <f>VLOOKUP(Tableau_donnes_gaz[[#This Row],[ANNÉE]],Tableau6[],4,FALSE)*Tableau_donnes_gaz[[#This Row],[Poste '[15']]]</f>
        <v>0</v>
      </c>
      <c r="AM19">
        <f>VLOOKUP(Tableau_donnes_gaz[[#This Row],[ANNÉE]],Tableau6[],4,FALSE)*Tableau_donnes_gaz[[#This Row],[Poste '[16']]]</f>
        <v>0</v>
      </c>
      <c r="AN19">
        <f>VLOOKUP(Tableau_donnes_gaz[[#This Row],[ANNÉE]],Tableau6[],4,FALSE)*Tableau_donnes_gaz[[#This Row],[Poste '[17']]]</f>
        <v>0</v>
      </c>
      <c r="AO19">
        <f>VLOOKUP(Tableau_donnes_gaz[[#This Row],[ANNÉE]],Tableau6[],4,FALSE)*Tableau_donnes_gaz[[#This Row],[Poste '[18']]]</f>
        <v>0</v>
      </c>
      <c r="AP19">
        <f>VLOOKUP(Tableau_donnes_gaz[[#This Row],[ANNÉE]],Tableau6[],4,FALSE)*Tableau_donnes_gaz[[#This Row],[Poste '[19']]]</f>
        <v>0</v>
      </c>
      <c r="AQ19">
        <f>VLOOKUP(Tableau_donnes_gaz[[#This Row],[ANNÉE]],Tableau6[],4,FALSE)*Tableau_donnes_gaz[[#This Row],[Poste '[20']]]</f>
        <v>0</v>
      </c>
      <c r="AR19">
        <f>VLOOKUP(Tableau_donnes_gaz[[#This Row],[ANNÉE]],Tableau6[],4,FALSE)*Tableau_donnes_gaz[[#This Row],[Total]]</f>
        <v>0</v>
      </c>
      <c r="AS19" t="str">
        <f>TEXT(Tableau_donnes_gaz[[#This Row],[Mois/Année ]],"mmmm")</f>
        <v>mars</v>
      </c>
      <c r="AT19">
        <f>YEAR(Tableau_donnes_gaz[[#This Row],[Mois/Année ]])</f>
        <v>2022</v>
      </c>
    </row>
  </sheetData>
  <sheetProtection selectLockedCells="1"/>
  <dataValidations count="2">
    <dataValidation type="decimal" operator="greaterThan" allowBlank="1" showInputMessage="1" showErrorMessage="1" sqref="W17:W19" xr:uid="{E82140B7-93DE-4AB1-B6E9-A931423D6A73}">
      <formula1>0</formula1>
    </dataValidation>
    <dataValidation operator="greaterThan" allowBlank="1" showInputMessage="1" showErrorMessage="1" sqref="C17:V19" xr:uid="{849FB71A-FF45-47A8-9FCE-FFE204A6B663}"/>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D783-93AD-4F0E-A82E-0392AE632256}">
  <sheetPr>
    <tabColor theme="4"/>
  </sheetPr>
  <dimension ref="A1:AT20"/>
  <sheetViews>
    <sheetView topLeftCell="U13" zoomScale="85" zoomScaleNormal="85" workbookViewId="0">
      <selection activeCell="W1" sqref="W1:AU1048576"/>
    </sheetView>
  </sheetViews>
  <sheetFormatPr baseColWidth="10" defaultColWidth="11.5703125" defaultRowHeight="15" x14ac:dyDescent="0.25"/>
  <cols>
    <col min="1" max="1" width="19.28515625" style="1" customWidth="1"/>
    <col min="2" max="2" width="35.7109375" style="23" customWidth="1"/>
    <col min="3" max="23" width="30.7109375" style="23" customWidth="1"/>
    <col min="24" max="46" width="30.7109375" style="1" hidden="1" customWidth="1"/>
    <col min="47" max="16384" width="11.5703125" style="1"/>
  </cols>
  <sheetData>
    <row r="1" spans="1:46" x14ac:dyDescent="0.25">
      <c r="B1" s="1"/>
      <c r="C1" s="1"/>
      <c r="D1" s="1"/>
      <c r="E1" s="1"/>
      <c r="F1" s="1"/>
      <c r="G1" s="1"/>
      <c r="H1" s="1"/>
      <c r="I1" s="1"/>
      <c r="J1" s="1"/>
      <c r="K1" s="1"/>
      <c r="L1" s="1"/>
      <c r="M1" s="1"/>
      <c r="N1" s="1"/>
      <c r="O1" s="1"/>
      <c r="P1" s="1"/>
      <c r="Q1" s="1"/>
      <c r="R1" s="1"/>
      <c r="S1" s="1"/>
      <c r="T1" s="1"/>
      <c r="U1" s="1"/>
      <c r="V1" s="1"/>
      <c r="W1" s="1"/>
    </row>
    <row r="2" spans="1:46" x14ac:dyDescent="0.25">
      <c r="B2" s="1"/>
      <c r="C2" s="1"/>
      <c r="D2" s="1"/>
      <c r="E2" s="1"/>
      <c r="F2" s="1"/>
      <c r="G2" s="1"/>
      <c r="H2" s="1"/>
      <c r="I2" s="1"/>
      <c r="J2" s="1"/>
      <c r="K2" s="1"/>
      <c r="L2" s="1"/>
      <c r="M2" s="1"/>
      <c r="N2" s="1"/>
      <c r="O2" s="1"/>
      <c r="P2" s="1"/>
      <c r="Q2" s="1"/>
      <c r="R2" s="1"/>
      <c r="S2" s="1"/>
      <c r="T2" s="1"/>
      <c r="U2" s="1"/>
      <c r="V2" s="1"/>
      <c r="W2" s="1"/>
    </row>
    <row r="3" spans="1:46" x14ac:dyDescent="0.25">
      <c r="B3" s="1"/>
      <c r="C3" s="1"/>
      <c r="D3" s="1"/>
      <c r="E3" s="1"/>
      <c r="F3" s="1"/>
      <c r="G3" s="1"/>
      <c r="H3" s="1"/>
      <c r="I3" s="1"/>
      <c r="J3" s="1"/>
      <c r="K3" s="1"/>
      <c r="L3" s="1"/>
      <c r="M3" s="1"/>
      <c r="N3" s="1"/>
      <c r="O3" s="1"/>
      <c r="P3" s="1"/>
      <c r="Q3" s="1"/>
      <c r="R3" s="1"/>
      <c r="S3" s="1"/>
      <c r="T3" s="1"/>
      <c r="U3" s="1"/>
      <c r="V3" s="1"/>
      <c r="W3" s="1"/>
    </row>
    <row r="4" spans="1:46" x14ac:dyDescent="0.25">
      <c r="B4" s="1"/>
      <c r="C4" s="1"/>
      <c r="D4" s="1"/>
      <c r="E4" s="1"/>
      <c r="F4" s="1"/>
      <c r="G4" s="1"/>
      <c r="H4" s="1"/>
      <c r="I4" s="1"/>
      <c r="J4" s="1"/>
      <c r="K4" s="1"/>
      <c r="L4" s="1"/>
      <c r="M4" s="1"/>
      <c r="N4" s="1"/>
      <c r="O4" s="1"/>
      <c r="P4" s="1"/>
      <c r="Q4" s="1"/>
      <c r="R4" s="1"/>
      <c r="S4" s="1"/>
      <c r="T4" s="1"/>
      <c r="U4" s="1"/>
      <c r="V4" s="1"/>
      <c r="W4" s="1"/>
    </row>
    <row r="5" spans="1:46" s="3" customFormat="1" x14ac:dyDescent="0.25"/>
    <row r="6" spans="1:46" s="3" customFormat="1" x14ac:dyDescent="0.25"/>
    <row r="7" spans="1:46" s="3" customFormat="1" x14ac:dyDescent="0.25"/>
    <row r="8" spans="1:46" x14ac:dyDescent="0.25">
      <c r="B8" s="1"/>
      <c r="C8" s="1"/>
      <c r="D8" s="1"/>
      <c r="E8" s="1"/>
      <c r="F8" s="1"/>
      <c r="G8" s="1"/>
      <c r="H8" s="1"/>
      <c r="I8" s="1"/>
      <c r="J8" s="1"/>
      <c r="K8" s="1"/>
      <c r="L8" s="1"/>
      <c r="M8" s="1"/>
      <c r="N8" s="1"/>
      <c r="O8" s="1"/>
      <c r="P8" s="1"/>
      <c r="Q8" s="1"/>
      <c r="R8" s="1"/>
      <c r="S8" s="1"/>
      <c r="T8" s="1"/>
      <c r="U8" s="1"/>
      <c r="V8" s="1"/>
      <c r="W8" s="1"/>
    </row>
    <row r="9" spans="1:46" x14ac:dyDescent="0.25">
      <c r="B9" s="1"/>
      <c r="C9" s="1"/>
      <c r="D9" s="1"/>
      <c r="E9" s="1"/>
      <c r="F9" s="1"/>
      <c r="G9" s="1"/>
      <c r="H9" s="1"/>
      <c r="I9" s="1"/>
      <c r="J9" s="1"/>
      <c r="K9" s="1"/>
      <c r="L9" s="1"/>
      <c r="M9" s="1"/>
      <c r="N9" s="1"/>
      <c r="O9" s="1"/>
      <c r="P9" s="1"/>
      <c r="Q9" s="1"/>
      <c r="R9" s="1"/>
      <c r="S9" s="1"/>
      <c r="T9" s="1"/>
      <c r="U9" s="1"/>
      <c r="V9" s="1"/>
      <c r="W9" s="1"/>
    </row>
    <row r="10" spans="1:46" x14ac:dyDescent="0.25">
      <c r="B10" s="1"/>
      <c r="C10" s="1"/>
      <c r="D10" s="1"/>
      <c r="E10" s="1"/>
      <c r="F10" s="1"/>
      <c r="G10" s="1"/>
      <c r="H10" s="1"/>
      <c r="I10" s="1"/>
      <c r="J10" s="1"/>
      <c r="K10" s="1"/>
      <c r="L10" s="1"/>
      <c r="M10" s="1"/>
      <c r="N10" s="1"/>
      <c r="O10" s="1"/>
      <c r="P10" s="1"/>
      <c r="Q10" s="1"/>
      <c r="R10" s="1"/>
      <c r="S10" s="1"/>
      <c r="T10" s="1"/>
      <c r="U10" s="1"/>
      <c r="V10" s="1"/>
      <c r="W10" s="1"/>
    </row>
    <row r="11" spans="1:46" x14ac:dyDescent="0.25">
      <c r="B11" s="1"/>
      <c r="C11" s="1"/>
      <c r="D11" s="1"/>
      <c r="E11" s="1"/>
      <c r="F11" s="1"/>
      <c r="G11" s="1"/>
      <c r="H11" s="1"/>
      <c r="I11" s="1"/>
      <c r="J11" s="1"/>
      <c r="K11" s="1"/>
      <c r="L11" s="1"/>
      <c r="M11" s="1"/>
      <c r="N11" s="1"/>
      <c r="O11" s="1"/>
      <c r="P11" s="1"/>
      <c r="Q11" s="1"/>
      <c r="R11" s="1"/>
      <c r="S11" s="1"/>
      <c r="T11" s="1"/>
      <c r="U11" s="1"/>
      <c r="V11" s="1"/>
      <c r="W11" s="1"/>
    </row>
    <row r="12" spans="1:46" x14ac:dyDescent="0.25">
      <c r="B12" s="1"/>
      <c r="C12" s="1"/>
      <c r="D12" s="1"/>
      <c r="E12" s="1"/>
      <c r="F12" s="1"/>
      <c r="G12" s="1"/>
      <c r="H12" s="1"/>
      <c r="I12" s="1"/>
      <c r="J12" s="1"/>
      <c r="K12" s="1"/>
      <c r="L12" s="1"/>
      <c r="M12" s="1"/>
      <c r="N12" s="1"/>
      <c r="O12" s="1"/>
      <c r="P12" s="1"/>
      <c r="Q12" s="1"/>
      <c r="R12" s="1"/>
      <c r="S12" s="1"/>
      <c r="T12" s="1"/>
      <c r="U12" s="1"/>
      <c r="V12" s="1"/>
      <c r="W12" s="1"/>
    </row>
    <row r="13" spans="1:46" s="3" customFormat="1" x14ac:dyDescent="0.25"/>
    <row r="14" spans="1:46" x14ac:dyDescent="0.25">
      <c r="B14" s="1"/>
      <c r="C14" s="1"/>
      <c r="D14" s="1"/>
      <c r="E14" s="1"/>
      <c r="F14" s="1"/>
      <c r="G14" s="1"/>
      <c r="H14" s="1"/>
      <c r="I14" s="1"/>
      <c r="J14" s="1"/>
      <c r="K14" s="1"/>
      <c r="L14" s="1"/>
      <c r="M14" s="1"/>
      <c r="N14" s="1"/>
      <c r="O14" s="1"/>
      <c r="P14" s="1"/>
      <c r="Q14" s="1"/>
      <c r="R14" s="1"/>
      <c r="S14" s="1"/>
      <c r="T14" s="1"/>
      <c r="U14" s="1"/>
      <c r="V14" s="1"/>
      <c r="W14" s="1"/>
    </row>
    <row r="15" spans="1:46" x14ac:dyDescent="0.25">
      <c r="B15" s="1"/>
      <c r="C15" s="1"/>
      <c r="D15" s="1"/>
      <c r="E15" s="1"/>
      <c r="F15" s="1"/>
      <c r="G15" s="1"/>
      <c r="H15" s="1"/>
      <c r="I15" s="1"/>
      <c r="J15" s="1"/>
      <c r="K15" s="1"/>
      <c r="L15" s="1"/>
      <c r="M15" s="1"/>
      <c r="N15" s="1"/>
      <c r="O15" s="1"/>
      <c r="P15" s="1"/>
      <c r="Q15" s="1"/>
      <c r="R15" s="1"/>
      <c r="S15" s="1"/>
      <c r="T15" s="1"/>
      <c r="U15" s="1"/>
      <c r="V15" s="1"/>
      <c r="W15" s="1"/>
      <c r="X15" s="1" t="str">
        <f>Tableau_donnees_eau[[#Headers],[Poste '[1']]]</f>
        <v>Poste [1]</v>
      </c>
      <c r="Y15" s="1" t="str">
        <f>Tableau_donnees_eau[[#Headers],[Poste '[2']]]</f>
        <v>Poste [2]</v>
      </c>
      <c r="Z15" s="1" t="str">
        <f>Tableau_donnees_eau[[#Headers],[Poste '[3']]]</f>
        <v>Poste [3]</v>
      </c>
      <c r="AA15" s="1" t="str">
        <f>Tableau_donnees_eau[[#Headers],[Poste '[4']]]</f>
        <v>Poste [4]</v>
      </c>
      <c r="AB15" s="1" t="str">
        <f>Tableau_donnees_eau[[#Headers],[Poste '[5']]]</f>
        <v>Poste [5]</v>
      </c>
      <c r="AC15" s="1" t="str">
        <f>Tableau_donnees_eau[[#Headers],[Poste '[6']]]</f>
        <v>Poste [6]</v>
      </c>
      <c r="AD15" s="1" t="str">
        <f>Tableau_donnees_eau[[#Headers],[Poste '[7']]]</f>
        <v>Poste [7]</v>
      </c>
      <c r="AE15" s="1" t="str">
        <f>Tableau_donnees_eau[[#Headers],[Poste '[8']]]</f>
        <v>Poste [8]</v>
      </c>
      <c r="AF15" s="1" t="str">
        <f>Tableau_donnees_eau[[#Headers],[Poste '[9']]]</f>
        <v>Poste [9]</v>
      </c>
      <c r="AG15" s="1" t="str">
        <f>Tableau_donnees_eau[[#Headers],[Poste '[10']]]</f>
        <v>Poste [10]</v>
      </c>
      <c r="AH15" s="1" t="str">
        <f>Tableau_donnees_eau[[#Headers],[Poste '[11']]]</f>
        <v>Poste [11]</v>
      </c>
      <c r="AI15" s="1" t="str">
        <f>Tableau_donnees_eau[[#Headers],[Poste '[12']]]</f>
        <v>Poste [12]</v>
      </c>
      <c r="AJ15" s="1" t="str">
        <f>Tableau_donnees_eau[[#Headers],[Poste '[13']]]</f>
        <v>Poste [13]</v>
      </c>
      <c r="AK15" s="1" t="str">
        <f>Tableau_donnees_eau[[#Headers],[Poste '[14']]]</f>
        <v>Poste [14]</v>
      </c>
      <c r="AL15" s="1" t="str">
        <f>Tableau_donnees_eau[[#Headers],[Poste '[15']]]</f>
        <v>Poste [15]</v>
      </c>
      <c r="AM15" s="1" t="str">
        <f>Tableau_donnees_eau[[#Headers],[Poste '[16']]]</f>
        <v>Poste [16]</v>
      </c>
      <c r="AN15" s="1" t="str">
        <f>Tableau_donnees_eau[[#Headers],[Poste '[17']]]</f>
        <v>Poste [17]</v>
      </c>
      <c r="AO15" s="1" t="str">
        <f>Tableau_donnees_eau[[#Headers],[Poste '[18']]]</f>
        <v>Poste [18]</v>
      </c>
      <c r="AP15" s="1" t="str">
        <f>Tableau_donnees_eau[[#Headers],[Poste '[19']]]</f>
        <v>Poste [19]</v>
      </c>
      <c r="AQ15" s="1" t="str">
        <f>Tableau_donnees_eau[[#Headers],[Poste '[20']]]</f>
        <v>Poste [20]</v>
      </c>
    </row>
    <row r="16" spans="1:46" s="4" customFormat="1" x14ac:dyDescent="0.25">
      <c r="A16" s="5" t="s">
        <v>1</v>
      </c>
      <c r="B16" s="5" t="s">
        <v>0</v>
      </c>
      <c r="C16" s="5" t="s">
        <v>39</v>
      </c>
      <c r="D16" s="5" t="s">
        <v>40</v>
      </c>
      <c r="E16" s="5" t="s">
        <v>80</v>
      </c>
      <c r="F16" s="5" t="s">
        <v>81</v>
      </c>
      <c r="G16" s="5" t="s">
        <v>43</v>
      </c>
      <c r="H16" s="5" t="s">
        <v>44</v>
      </c>
      <c r="I16" s="5" t="s">
        <v>82</v>
      </c>
      <c r="J16" s="5" t="s">
        <v>46</v>
      </c>
      <c r="K16" s="5" t="s">
        <v>47</v>
      </c>
      <c r="L16" s="5" t="s">
        <v>48</v>
      </c>
      <c r="M16" s="5" t="s">
        <v>52</v>
      </c>
      <c r="N16" s="5" t="s">
        <v>49</v>
      </c>
      <c r="O16" s="5" t="s">
        <v>50</v>
      </c>
      <c r="P16" s="5" t="s">
        <v>51</v>
      </c>
      <c r="Q16" s="5" t="s">
        <v>53</v>
      </c>
      <c r="R16" s="5" t="s">
        <v>54</v>
      </c>
      <c r="S16" s="5" t="s">
        <v>55</v>
      </c>
      <c r="T16" s="5" t="s">
        <v>56</v>
      </c>
      <c r="U16" s="5" t="s">
        <v>57</v>
      </c>
      <c r="V16" s="5" t="s">
        <v>58</v>
      </c>
      <c r="W16" s="5" t="s">
        <v>2</v>
      </c>
      <c r="X16" s="5" t="s">
        <v>59</v>
      </c>
      <c r="Y16" s="5" t="s">
        <v>60</v>
      </c>
      <c r="Z16" s="5" t="s">
        <v>61</v>
      </c>
      <c r="AA16" s="5" t="s">
        <v>62</v>
      </c>
      <c r="AB16" s="5" t="s">
        <v>63</v>
      </c>
      <c r="AC16" s="5" t="s">
        <v>64</v>
      </c>
      <c r="AD16" s="5" t="s">
        <v>65</v>
      </c>
      <c r="AE16" s="5" t="s">
        <v>83</v>
      </c>
      <c r="AF16" s="5" t="s">
        <v>67</v>
      </c>
      <c r="AG16" s="5" t="s">
        <v>68</v>
      </c>
      <c r="AH16" s="5" t="s">
        <v>69</v>
      </c>
      <c r="AI16" s="5" t="s">
        <v>70</v>
      </c>
      <c r="AJ16" s="5" t="s">
        <v>71</v>
      </c>
      <c r="AK16" s="5" t="s">
        <v>72</v>
      </c>
      <c r="AL16" s="5" t="s">
        <v>73</v>
      </c>
      <c r="AM16" s="5" t="s">
        <v>74</v>
      </c>
      <c r="AN16" s="5" t="s">
        <v>75</v>
      </c>
      <c r="AO16" s="5" t="s">
        <v>76</v>
      </c>
      <c r="AP16" s="5" t="s">
        <v>77</v>
      </c>
      <c r="AQ16" s="5" t="s">
        <v>78</v>
      </c>
      <c r="AR16" s="5" t="s">
        <v>5</v>
      </c>
      <c r="AS16" s="5" t="s">
        <v>3</v>
      </c>
      <c r="AT16" s="5" t="s">
        <v>4</v>
      </c>
    </row>
    <row r="17" spans="1:46" x14ac:dyDescent="0.25">
      <c r="A17" s="6">
        <v>44562</v>
      </c>
      <c r="B17" s="22"/>
      <c r="C17" s="22"/>
      <c r="D17" s="22"/>
      <c r="E17" s="22"/>
      <c r="F17" s="22"/>
      <c r="G17" s="22"/>
      <c r="H17" s="22"/>
      <c r="I17" s="22"/>
      <c r="J17" s="22"/>
      <c r="K17" s="22"/>
      <c r="L17" s="22"/>
      <c r="M17" s="22"/>
      <c r="N17" s="22"/>
      <c r="O17" s="22"/>
      <c r="P17" s="22"/>
      <c r="Q17" s="22"/>
      <c r="R17" s="22"/>
      <c r="S17" s="22"/>
      <c r="T17" s="22"/>
      <c r="U17" s="22"/>
      <c r="V17" s="22"/>
      <c r="W17" s="22"/>
      <c r="X17">
        <f>VLOOKUP(Tableau_donnees_eau[[#This Row],[ANNÉE]],Tableau6[],3,FALSE)*Tableau_donnees_eau[[#This Row],[Poste '[1']]]</f>
        <v>0</v>
      </c>
      <c r="Y17">
        <f>VLOOKUP(Tableau_donnees_eau[[#This Row],[ANNÉE]],Tableau6[],3,FALSE)*Tableau_donnees_eau[[#This Row],[Poste '[2']]]</f>
        <v>0</v>
      </c>
      <c r="Z17">
        <f>VLOOKUP(Tableau_donnees_eau[[#This Row],[ANNÉE]],Tableau6[],3,FALSE)*Tableau_donnees_eau[[#This Row],[Poste '[3']]]</f>
        <v>0</v>
      </c>
      <c r="AA17">
        <f>VLOOKUP(Tableau_donnees_eau[[#This Row],[ANNÉE]],Tableau6[],3,FALSE)*Tableau_donnees_eau[[#This Row],[Poste '[4']]]</f>
        <v>0</v>
      </c>
      <c r="AB17">
        <f>VLOOKUP(Tableau_donnees_eau[[#This Row],[ANNÉE]],Tableau6[],3,FALSE)*Tableau_donnees_eau[[#This Row],[Poste '[4']]]</f>
        <v>0</v>
      </c>
      <c r="AC17">
        <f>VLOOKUP(Tableau_donnees_eau[[#This Row],[ANNÉE]],Tableau6[],3,FALSE)*Tableau_donnees_eau[[#This Row],[Poste '[6']]]</f>
        <v>0</v>
      </c>
      <c r="AD17">
        <f>VLOOKUP(Tableau_donnees_eau[[#This Row],[ANNÉE]],Tableau6[],3,FALSE)*Tableau_donnees_eau[[#This Row],[Poste '[7']]]</f>
        <v>0</v>
      </c>
      <c r="AE17">
        <f>VLOOKUP(Tableau_donnees_eau[[#This Row],[ANNÉE]],Tableau6[],3,FALSE)*Tableau_donnees_eau[[#This Row],[Poste '[8']]]</f>
        <v>0</v>
      </c>
      <c r="AF17">
        <f>VLOOKUP(Tableau_donnees_eau[[#This Row],[ANNÉE]],Tableau6[],3,FALSE)*Tableau_donnees_eau[[#This Row],[Poste '[9']]]</f>
        <v>0</v>
      </c>
      <c r="AG17">
        <f>VLOOKUP(Tableau_donnees_eau[[#This Row],[ANNÉE]],Tableau6[],3,FALSE)*Tableau_donnees_eau[[#This Row],[Poste '[10']]]</f>
        <v>0</v>
      </c>
      <c r="AH17">
        <f>VLOOKUP(Tableau_donnees_eau[[#This Row],[ANNÉE]],Tableau6[],3,FALSE)*Tableau_donnees_eau[[#This Row],[Poste '[11']]]</f>
        <v>0</v>
      </c>
      <c r="AI17">
        <f>VLOOKUP(Tableau_donnees_eau[[#This Row],[ANNÉE]],Tableau6[],3,FALSE)*Tableau_donnees_eau[[#This Row],[Poste '[12']]]</f>
        <v>0</v>
      </c>
      <c r="AJ17">
        <f>VLOOKUP(Tableau_donnees_eau[[#This Row],[ANNÉE]],Tableau6[],3,FALSE)*Tableau_donnees_eau[[#This Row],[Poste '[13']]]</f>
        <v>0</v>
      </c>
      <c r="AK17">
        <f>VLOOKUP(Tableau_donnees_eau[[#This Row],[ANNÉE]],Tableau6[],3,FALSE)*Tableau_donnees_eau[[#This Row],[Poste '[14']]]</f>
        <v>0</v>
      </c>
      <c r="AL17">
        <f>VLOOKUP(Tableau_donnees_eau[[#This Row],[ANNÉE]],Tableau6[],3,FALSE)*Tableau_donnees_eau[[#This Row],[Poste '[15']]]</f>
        <v>0</v>
      </c>
      <c r="AM17">
        <f>VLOOKUP(Tableau_donnees_eau[[#This Row],[ANNÉE]],Tableau6[],3,FALSE)*Tableau_donnees_eau[[#This Row],[Poste '[16']]]</f>
        <v>0</v>
      </c>
      <c r="AN17">
        <f>VLOOKUP(Tableau_donnees_eau[[#This Row],[ANNÉE]],Tableau6[],3,FALSE)*Tableau_donnees_eau[[#This Row],[Poste '[17']]]</f>
        <v>0</v>
      </c>
      <c r="AO17">
        <f>VLOOKUP(Tableau_donnees_eau[[#This Row],[ANNÉE]],Tableau6[],3,FALSE)*Tableau_donnees_eau[[#This Row],[Poste '[18']]]</f>
        <v>0</v>
      </c>
      <c r="AP17">
        <f>VLOOKUP(Tableau_donnees_eau[[#This Row],[ANNÉE]],Tableau6[],3,FALSE)*Tableau_donnees_eau[[#This Row],[Poste '[19']]]</f>
        <v>0</v>
      </c>
      <c r="AQ17">
        <f>VLOOKUP(Tableau_donnees_eau[[#This Row],[ANNÉE]],Tableau6[],3,FALSE)*Tableau_donnees_eau[[#This Row],[Poste '[20']]]</f>
        <v>0</v>
      </c>
      <c r="AR17">
        <f>VLOOKUP(Tableau_donnees_eau[[#This Row],[ANNÉE]],Tableau6[],3,FALSE)*Tableau_donnees_eau[[#This Row],[Total]]</f>
        <v>0</v>
      </c>
      <c r="AS17" t="str">
        <f>TEXT(Tableau_donnees_eau[[#This Row],[Mois/Année ]],"mmmm")</f>
        <v>janvier</v>
      </c>
      <c r="AT17">
        <f>YEAR(Tableau_donnees_eau[[#This Row],[Mois/Année ]])</f>
        <v>2022</v>
      </c>
    </row>
    <row r="18" spans="1:46" x14ac:dyDescent="0.25">
      <c r="A18" s="6">
        <v>44593</v>
      </c>
      <c r="B18" s="22"/>
      <c r="C18" s="22"/>
      <c r="D18" s="22"/>
      <c r="E18" s="22"/>
      <c r="F18" s="22"/>
      <c r="G18" s="22"/>
      <c r="H18" s="22"/>
      <c r="I18" s="22"/>
      <c r="J18" s="22"/>
      <c r="K18" s="22"/>
      <c r="L18" s="22"/>
      <c r="M18" s="22"/>
      <c r="N18" s="22"/>
      <c r="O18" s="22"/>
      <c r="P18" s="22"/>
      <c r="Q18" s="22"/>
      <c r="R18" s="22"/>
      <c r="S18" s="22"/>
      <c r="T18" s="22"/>
      <c r="U18" s="22"/>
      <c r="V18" s="22"/>
      <c r="W18" s="22"/>
      <c r="X18">
        <f>VLOOKUP(Tableau_donnees_eau[[#This Row],[ANNÉE]],Tableau6[],3,FALSE)*Tableau_donnees_eau[[#This Row],[Poste '[1']]]</f>
        <v>0</v>
      </c>
      <c r="Y18">
        <f>VLOOKUP(Tableau_donnees_eau[[#This Row],[ANNÉE]],Tableau6[],3,FALSE)*Tableau_donnees_eau[[#This Row],[Poste '[2']]]</f>
        <v>0</v>
      </c>
      <c r="Z18">
        <f>VLOOKUP(Tableau_donnees_eau[[#This Row],[ANNÉE]],Tableau6[],3,FALSE)*Tableau_donnees_eau[[#This Row],[Poste '[3']]]</f>
        <v>0</v>
      </c>
      <c r="AA18">
        <f>VLOOKUP(Tableau_donnees_eau[[#This Row],[ANNÉE]],Tableau6[],3,FALSE)*Tableau_donnees_eau[[#This Row],[Poste '[4']]]</f>
        <v>0</v>
      </c>
      <c r="AB18">
        <f>VLOOKUP(Tableau_donnees_eau[[#This Row],[ANNÉE]],Tableau6[],3,FALSE)*Tableau_donnees_eau[[#This Row],[Poste '[4']]]</f>
        <v>0</v>
      </c>
      <c r="AC18">
        <f>VLOOKUP(Tableau_donnees_eau[[#This Row],[ANNÉE]],Tableau6[],3,FALSE)*Tableau_donnees_eau[[#This Row],[Poste '[6']]]</f>
        <v>0</v>
      </c>
      <c r="AD18">
        <f>VLOOKUP(Tableau_donnees_eau[[#This Row],[ANNÉE]],Tableau6[],3,FALSE)*Tableau_donnees_eau[[#This Row],[Poste '[7']]]</f>
        <v>0</v>
      </c>
      <c r="AE18">
        <f>VLOOKUP(Tableau_donnees_eau[[#This Row],[ANNÉE]],Tableau6[],3,FALSE)*Tableau_donnees_eau[[#This Row],[Poste '[8']]]</f>
        <v>0</v>
      </c>
      <c r="AF18">
        <f>VLOOKUP(Tableau_donnees_eau[[#This Row],[ANNÉE]],Tableau6[],3,FALSE)*Tableau_donnees_eau[[#This Row],[Poste '[9']]]</f>
        <v>0</v>
      </c>
      <c r="AG18">
        <f>VLOOKUP(Tableau_donnees_eau[[#This Row],[ANNÉE]],Tableau6[],3,FALSE)*Tableau_donnees_eau[[#This Row],[Poste '[10']]]</f>
        <v>0</v>
      </c>
      <c r="AH18">
        <f>VLOOKUP(Tableau_donnees_eau[[#This Row],[ANNÉE]],Tableau6[],3,FALSE)*Tableau_donnees_eau[[#This Row],[Poste '[11']]]</f>
        <v>0</v>
      </c>
      <c r="AI18">
        <f>VLOOKUP(Tableau_donnees_eau[[#This Row],[ANNÉE]],Tableau6[],3,FALSE)*Tableau_donnees_eau[[#This Row],[Poste '[12']]]</f>
        <v>0</v>
      </c>
      <c r="AJ18">
        <f>VLOOKUP(Tableau_donnees_eau[[#This Row],[ANNÉE]],Tableau6[],3,FALSE)*Tableau_donnees_eau[[#This Row],[Poste '[13']]]</f>
        <v>0</v>
      </c>
      <c r="AK18">
        <f>VLOOKUP(Tableau_donnees_eau[[#This Row],[ANNÉE]],Tableau6[],3,FALSE)*Tableau_donnees_eau[[#This Row],[Poste '[14']]]</f>
        <v>0</v>
      </c>
      <c r="AL18">
        <f>VLOOKUP(Tableau_donnees_eau[[#This Row],[ANNÉE]],Tableau6[],3,FALSE)*Tableau_donnees_eau[[#This Row],[Poste '[15']]]</f>
        <v>0</v>
      </c>
      <c r="AM18">
        <f>VLOOKUP(Tableau_donnees_eau[[#This Row],[ANNÉE]],Tableau6[],3,FALSE)*Tableau_donnees_eau[[#This Row],[Poste '[16']]]</f>
        <v>0</v>
      </c>
      <c r="AN18">
        <f>VLOOKUP(Tableau_donnees_eau[[#This Row],[ANNÉE]],Tableau6[],3,FALSE)*Tableau_donnees_eau[[#This Row],[Poste '[17']]]</f>
        <v>0</v>
      </c>
      <c r="AO18">
        <f>VLOOKUP(Tableau_donnees_eau[[#This Row],[ANNÉE]],Tableau6[],3,FALSE)*Tableau_donnees_eau[[#This Row],[Poste '[18']]]</f>
        <v>0</v>
      </c>
      <c r="AP18">
        <f>VLOOKUP(Tableau_donnees_eau[[#This Row],[ANNÉE]],Tableau6[],3,FALSE)*Tableau_donnees_eau[[#This Row],[Poste '[19']]]</f>
        <v>0</v>
      </c>
      <c r="AQ18">
        <f>VLOOKUP(Tableau_donnees_eau[[#This Row],[ANNÉE]],Tableau6[],3,FALSE)*Tableau_donnees_eau[[#This Row],[Poste '[20']]]</f>
        <v>0</v>
      </c>
      <c r="AR18">
        <f>VLOOKUP(Tableau_donnees_eau[[#This Row],[ANNÉE]],Tableau6[],3,FALSE)*Tableau_donnees_eau[[#This Row],[Total]]</f>
        <v>0</v>
      </c>
      <c r="AS18" t="str">
        <f>TEXT(Tableau_donnees_eau[[#This Row],[Mois/Année ]],"mmmm")</f>
        <v>février</v>
      </c>
      <c r="AT18">
        <f>YEAR(Tableau_donnees_eau[[#This Row],[Mois/Année ]])</f>
        <v>2022</v>
      </c>
    </row>
    <row r="19" spans="1:46" x14ac:dyDescent="0.25">
      <c r="A19" s="6">
        <v>44621</v>
      </c>
      <c r="B19" s="22"/>
      <c r="C19" s="22"/>
      <c r="D19" s="22"/>
      <c r="E19" s="22"/>
      <c r="F19" s="22"/>
      <c r="G19" s="22"/>
      <c r="H19" s="22"/>
      <c r="I19" s="22"/>
      <c r="J19" s="22"/>
      <c r="K19" s="22"/>
      <c r="L19" s="22"/>
      <c r="M19" s="22"/>
      <c r="N19" s="22"/>
      <c r="O19" s="22"/>
      <c r="P19" s="22"/>
      <c r="Q19" s="22"/>
      <c r="R19" s="22"/>
      <c r="S19" s="22"/>
      <c r="T19" s="22"/>
      <c r="U19" s="22"/>
      <c r="V19" s="22"/>
      <c r="W19" s="22"/>
      <c r="X19">
        <f>VLOOKUP(Tableau_donnees_eau[[#This Row],[ANNÉE]],Tableau6[],3,FALSE)*Tableau_donnees_eau[[#This Row],[Poste '[1']]]</f>
        <v>0</v>
      </c>
      <c r="Y19">
        <f>VLOOKUP(Tableau_donnees_eau[[#This Row],[ANNÉE]],Tableau6[],3,FALSE)*Tableau_donnees_eau[[#This Row],[Poste '[2']]]</f>
        <v>0</v>
      </c>
      <c r="Z19">
        <f>VLOOKUP(Tableau_donnees_eau[[#This Row],[ANNÉE]],Tableau6[],3,FALSE)*Tableau_donnees_eau[[#This Row],[Poste '[3']]]</f>
        <v>0</v>
      </c>
      <c r="AA19">
        <f>VLOOKUP(Tableau_donnees_eau[[#This Row],[ANNÉE]],Tableau6[],3,FALSE)*Tableau_donnees_eau[[#This Row],[Poste '[4']]]</f>
        <v>0</v>
      </c>
      <c r="AB19">
        <f>VLOOKUP(Tableau_donnees_eau[[#This Row],[ANNÉE]],Tableau6[],3,FALSE)*Tableau_donnees_eau[[#This Row],[Poste '[4']]]</f>
        <v>0</v>
      </c>
      <c r="AC19">
        <f>VLOOKUP(Tableau_donnees_eau[[#This Row],[ANNÉE]],Tableau6[],3,FALSE)*Tableau_donnees_eau[[#This Row],[Poste '[6']]]</f>
        <v>0</v>
      </c>
      <c r="AD19">
        <f>VLOOKUP(Tableau_donnees_eau[[#This Row],[ANNÉE]],Tableau6[],3,FALSE)*Tableau_donnees_eau[[#This Row],[Poste '[7']]]</f>
        <v>0</v>
      </c>
      <c r="AE19">
        <f>VLOOKUP(Tableau_donnees_eau[[#This Row],[ANNÉE]],Tableau6[],3,FALSE)*Tableau_donnees_eau[[#This Row],[Poste '[8']]]</f>
        <v>0</v>
      </c>
      <c r="AF19">
        <f>VLOOKUP(Tableau_donnees_eau[[#This Row],[ANNÉE]],Tableau6[],3,FALSE)*Tableau_donnees_eau[[#This Row],[Poste '[9']]]</f>
        <v>0</v>
      </c>
      <c r="AG19">
        <f>VLOOKUP(Tableau_donnees_eau[[#This Row],[ANNÉE]],Tableau6[],3,FALSE)*Tableau_donnees_eau[[#This Row],[Poste '[10']]]</f>
        <v>0</v>
      </c>
      <c r="AH19">
        <f>VLOOKUP(Tableau_donnees_eau[[#This Row],[ANNÉE]],Tableau6[],3,FALSE)*Tableau_donnees_eau[[#This Row],[Poste '[11']]]</f>
        <v>0</v>
      </c>
      <c r="AI19">
        <f>VLOOKUP(Tableau_donnees_eau[[#This Row],[ANNÉE]],Tableau6[],3,FALSE)*Tableau_donnees_eau[[#This Row],[Poste '[12']]]</f>
        <v>0</v>
      </c>
      <c r="AJ19">
        <f>VLOOKUP(Tableau_donnees_eau[[#This Row],[ANNÉE]],Tableau6[],3,FALSE)*Tableau_donnees_eau[[#This Row],[Poste '[13']]]</f>
        <v>0</v>
      </c>
      <c r="AK19">
        <f>VLOOKUP(Tableau_donnees_eau[[#This Row],[ANNÉE]],Tableau6[],3,FALSE)*Tableau_donnees_eau[[#This Row],[Poste '[14']]]</f>
        <v>0</v>
      </c>
      <c r="AL19">
        <f>VLOOKUP(Tableau_donnees_eau[[#This Row],[ANNÉE]],Tableau6[],3,FALSE)*Tableau_donnees_eau[[#This Row],[Poste '[15']]]</f>
        <v>0</v>
      </c>
      <c r="AM19">
        <f>VLOOKUP(Tableau_donnees_eau[[#This Row],[ANNÉE]],Tableau6[],3,FALSE)*Tableau_donnees_eau[[#This Row],[Poste '[16']]]</f>
        <v>0</v>
      </c>
      <c r="AN19">
        <f>VLOOKUP(Tableau_donnees_eau[[#This Row],[ANNÉE]],Tableau6[],3,FALSE)*Tableau_donnees_eau[[#This Row],[Poste '[17']]]</f>
        <v>0</v>
      </c>
      <c r="AO19">
        <f>VLOOKUP(Tableau_donnees_eau[[#This Row],[ANNÉE]],Tableau6[],3,FALSE)*Tableau_donnees_eau[[#This Row],[Poste '[18']]]</f>
        <v>0</v>
      </c>
      <c r="AP19">
        <f>VLOOKUP(Tableau_donnees_eau[[#This Row],[ANNÉE]],Tableau6[],3,FALSE)*Tableau_donnees_eau[[#This Row],[Poste '[19']]]</f>
        <v>0</v>
      </c>
      <c r="AQ19">
        <f>VLOOKUP(Tableau_donnees_eau[[#This Row],[ANNÉE]],Tableau6[],3,FALSE)*Tableau_donnees_eau[[#This Row],[Poste '[20']]]</f>
        <v>0</v>
      </c>
      <c r="AR19">
        <f>VLOOKUP(Tableau_donnees_eau[[#This Row],[ANNÉE]],Tableau6[],3,FALSE)*Tableau_donnees_eau[[#This Row],[Total]]</f>
        <v>0</v>
      </c>
      <c r="AS19" t="str">
        <f>TEXT(Tableau_donnees_eau[[#This Row],[Mois/Année ]],"mmmm")</f>
        <v>mars</v>
      </c>
      <c r="AT19">
        <f>YEAR(Tableau_donnees_eau[[#This Row],[Mois/Année ]])</f>
        <v>2022</v>
      </c>
    </row>
    <row r="20" spans="1:46" x14ac:dyDescent="0.25">
      <c r="A20" s="19"/>
    </row>
  </sheetData>
  <sheetProtection selectLockedCells="1"/>
  <dataValidations count="1">
    <dataValidation operator="greaterThan" allowBlank="1" showInputMessage="1" showErrorMessage="1" sqref="C17:W19" xr:uid="{A41407C0-8ABE-4711-B419-6426B0A626C3}"/>
  </dataValidation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86785-B64B-4F37-9712-67B7108E685A}">
  <sheetPr>
    <tabColor theme="9" tint="0.39997558519241921"/>
  </sheetPr>
  <dimension ref="B5:XFD1048576"/>
  <sheetViews>
    <sheetView workbookViewId="0">
      <selection activeCell="J12" sqref="J12"/>
    </sheetView>
  </sheetViews>
  <sheetFormatPr baseColWidth="10" defaultColWidth="11.5703125" defaultRowHeight="15" x14ac:dyDescent="0.25"/>
  <cols>
    <col min="1" max="16384" width="11.5703125" style="1"/>
  </cols>
  <sheetData>
    <row r="5" spans="2:5" ht="15.75" thickBot="1" x14ac:dyDescent="0.3"/>
    <row r="6" spans="2:5" ht="15.75" thickBot="1" x14ac:dyDescent="0.3">
      <c r="B6" s="37" t="s">
        <v>84</v>
      </c>
      <c r="C6" s="38"/>
      <c r="D6" s="38"/>
      <c r="E6" s="39"/>
    </row>
    <row r="7" spans="2:5" x14ac:dyDescent="0.25">
      <c r="B7" t="s">
        <v>6</v>
      </c>
      <c r="C7" t="s">
        <v>7</v>
      </c>
      <c r="D7" t="s">
        <v>8</v>
      </c>
      <c r="E7" t="s">
        <v>9</v>
      </c>
    </row>
    <row r="8" spans="2:5" x14ac:dyDescent="0.25">
      <c r="B8">
        <v>2022</v>
      </c>
      <c r="C8"/>
      <c r="D8"/>
      <c r="E8"/>
    </row>
    <row r="9" spans="2:5" x14ac:dyDescent="0.25">
      <c r="B9">
        <v>2023</v>
      </c>
      <c r="C9"/>
      <c r="D9"/>
      <c r="E9"/>
    </row>
    <row r="10" spans="2:5" x14ac:dyDescent="0.25">
      <c r="B10">
        <v>2024</v>
      </c>
      <c r="C10"/>
      <c r="D10"/>
      <c r="E10"/>
    </row>
    <row r="11" spans="2:5" x14ac:dyDescent="0.25">
      <c r="B11">
        <v>2025</v>
      </c>
      <c r="C11"/>
      <c r="D11"/>
      <c r="E11"/>
    </row>
    <row r="12" spans="2:5" x14ac:dyDescent="0.25">
      <c r="B12">
        <v>2026</v>
      </c>
      <c r="C12"/>
      <c r="D12"/>
      <c r="E12"/>
    </row>
    <row r="1048576" spans="16384:16384" x14ac:dyDescent="0.25">
      <c r="XFD1048576" s="20" t="s">
        <v>79</v>
      </c>
    </row>
  </sheetData>
  <sheetProtection selectLockedCells="1" selectUnlockedCells="1"/>
  <mergeCells count="1">
    <mergeCell ref="B6:E6"/>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CB87-B100-4EF0-928E-46744831D723}">
  <sheetPr>
    <tabColor theme="4" tint="0.79998168889431442"/>
  </sheetPr>
  <dimension ref="A1:C27"/>
  <sheetViews>
    <sheetView topLeftCell="A19" workbookViewId="0">
      <selection activeCell="C33" sqref="C33"/>
    </sheetView>
  </sheetViews>
  <sheetFormatPr baseColWidth="10" defaultRowHeight="15" x14ac:dyDescent="0.25"/>
  <cols>
    <col min="1" max="1" width="20" bestFit="1" customWidth="1"/>
    <col min="2" max="2" width="23.85546875" bestFit="1" customWidth="1"/>
    <col min="3" max="3" width="12.5703125" bestFit="1" customWidth="1"/>
    <col min="4" max="4" width="11.85546875" bestFit="1" customWidth="1"/>
  </cols>
  <sheetData>
    <row r="1" spans="1:3" ht="15.75" thickBot="1" x14ac:dyDescent="0.3"/>
    <row r="2" spans="1:3" ht="15.75" thickBot="1" x14ac:dyDescent="0.3">
      <c r="A2" s="12" t="s">
        <v>27</v>
      </c>
    </row>
    <row r="3" spans="1:3" x14ac:dyDescent="0.25">
      <c r="A3" s="7" t="s">
        <v>14</v>
      </c>
      <c r="B3" s="7" t="s">
        <v>12</v>
      </c>
    </row>
    <row r="4" spans="1:3" x14ac:dyDescent="0.25">
      <c r="A4" s="7" t="s">
        <v>10</v>
      </c>
      <c r="B4">
        <v>2022</v>
      </c>
      <c r="C4" t="s">
        <v>11</v>
      </c>
    </row>
    <row r="5" spans="1:3" x14ac:dyDescent="0.25">
      <c r="A5" s="8" t="s">
        <v>13</v>
      </c>
      <c r="B5" s="40"/>
      <c r="C5" s="40"/>
    </row>
    <row r="6" spans="1:3" x14ac:dyDescent="0.25">
      <c r="A6" s="8" t="s">
        <v>15</v>
      </c>
      <c r="B6" s="40"/>
      <c r="C6" s="40"/>
    </row>
    <row r="7" spans="1:3" x14ac:dyDescent="0.25">
      <c r="A7" s="8" t="s">
        <v>16</v>
      </c>
      <c r="B7" s="40"/>
      <c r="C7" s="40"/>
    </row>
    <row r="8" spans="1:3" x14ac:dyDescent="0.25">
      <c r="A8" s="8" t="s">
        <v>11</v>
      </c>
      <c r="B8" s="40"/>
      <c r="C8" s="40"/>
    </row>
    <row r="18" spans="1:3" ht="15.75" thickBot="1" x14ac:dyDescent="0.3"/>
    <row r="19" spans="1:3" ht="15.75" thickBot="1" x14ac:dyDescent="0.3">
      <c r="A19" s="12" t="s">
        <v>26</v>
      </c>
    </row>
    <row r="20" spans="1:3" x14ac:dyDescent="0.25">
      <c r="B20" s="7" t="s">
        <v>12</v>
      </c>
    </row>
    <row r="21" spans="1:3" x14ac:dyDescent="0.25">
      <c r="B21">
        <v>2022</v>
      </c>
      <c r="C21" t="s">
        <v>11</v>
      </c>
    </row>
    <row r="22" spans="1:3" x14ac:dyDescent="0.25">
      <c r="A22" t="s">
        <v>14</v>
      </c>
      <c r="B22" s="17"/>
      <c r="C22" s="17"/>
    </row>
    <row r="23" spans="1:3" ht="15.75" thickBot="1" x14ac:dyDescent="0.3"/>
    <row r="24" spans="1:3" ht="15.75" thickBot="1" x14ac:dyDescent="0.3">
      <c r="A24" s="16" t="s">
        <v>25</v>
      </c>
    </row>
    <row r="25" spans="1:3" x14ac:dyDescent="0.25">
      <c r="B25" s="7" t="s">
        <v>12</v>
      </c>
    </row>
    <row r="26" spans="1:3" x14ac:dyDescent="0.25">
      <c r="B26">
        <v>2022</v>
      </c>
      <c r="C26" t="s">
        <v>11</v>
      </c>
    </row>
    <row r="27" spans="1:3" x14ac:dyDescent="0.25">
      <c r="A27" t="s">
        <v>17</v>
      </c>
      <c r="B27" s="10">
        <v>0</v>
      </c>
      <c r="C27"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à propos de l'outil</vt:lpstr>
      <vt:lpstr>Tableau de Bord ELEC</vt:lpstr>
      <vt:lpstr>Tableau de Bord GAZ</vt:lpstr>
      <vt:lpstr>Tableau de Bord EAU</vt:lpstr>
      <vt:lpstr>Base de données ELEC</vt:lpstr>
      <vt:lpstr>Base de données GAZ</vt:lpstr>
      <vt:lpstr>Base de données EAU</vt:lpstr>
      <vt:lpstr>Coût des consommations</vt:lpstr>
      <vt:lpstr>Conso_tot_EAU</vt:lpstr>
      <vt:lpstr>Conso_postes_EAU</vt:lpstr>
      <vt:lpstr>Cout_conso_postes_EAU</vt:lpstr>
      <vt:lpstr>Evo_conso_postes_EAU</vt:lpstr>
      <vt:lpstr>Secteur_conso_postes_EAU</vt:lpstr>
      <vt:lpstr>Conso_tot_GAZ</vt:lpstr>
      <vt:lpstr>Conso_postes_GAZ</vt:lpstr>
      <vt:lpstr>Coût_conso_postes_GAZ</vt:lpstr>
      <vt:lpstr>Evo_conso_postes_GAZ</vt:lpstr>
      <vt:lpstr>Secteur_conso_postes_GAZ</vt:lpstr>
      <vt:lpstr>Conso_tot_ELEC</vt:lpstr>
      <vt:lpstr>Conso_Postes_ELEC</vt:lpstr>
      <vt:lpstr>Coût_Conso_Postes_ELEC</vt:lpstr>
      <vt:lpstr>Evo_Conso_Postes_ELEC</vt:lpstr>
      <vt:lpstr>Secteur_Conso_Postes_ELEC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STAGIAIRE1</dc:creator>
  <cp:lastModifiedBy>Jerome Bony</cp:lastModifiedBy>
  <dcterms:created xsi:type="dcterms:W3CDTF">2022-05-11T12:09:34Z</dcterms:created>
  <dcterms:modified xsi:type="dcterms:W3CDTF">2022-12-16T16:35:54Z</dcterms:modified>
</cp:coreProperties>
</file>